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ماشین_حساب_وام" sheetId="2" state="visible" r:id="rId4"/>
    <sheet name="جدول_اقساط" sheetId="3" state="visible" r:id="rId5"/>
    <sheet name="مقایسه" sheetId="4" state="visible" r:id="rId6"/>
    <sheet name="توان_بازپرداخت" sheetId="5" state="visible" r:id="rId7"/>
    <sheet name="جریمه_دیرکرد" sheetId="6" state="visible" r:id="rId8"/>
    <sheet name="نمودار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<sst xmlns="http://schemas.openxmlformats.org/spreadsheetml/2006/main" count="92" uniqueCount="79">
  <si>
    <t xml:space="preserve">ماشین‌حساب وام و تسهیلات | felfelani.ir</t>
  </si>
  <si>
    <t xml:space="preserve">شروع</t>
  </si>
  <si>
    <t xml:space="preserve">در برگه‌ی «ماشین_حساب_وام» مبلغ، نرخ سالانه، تعداد اقساط و کارمزد ابتدایی را وارد کنید. قسط، مجموع سود و نرخ مؤثر محاسبه می‌شود.</t>
  </si>
  <si>
    <t xml:space="preserve">جدول اقساط</t>
  </si>
  <si>
    <t xml:space="preserve">سهم اصل، سهم سود و مانده‌ی هر ماه تا ۱۲۰ ماه نمایش داده می‌شود.</t>
  </si>
  <si>
    <t xml:space="preserve">مقایسه</t>
  </si>
  <si>
    <t xml:space="preserve">بخش الف سود مانده‌ی کاهنده و مقطوع را با هم می‌سنجد؛ بخش ب دو پیشنهاد وام را با کارمزد و نرخ مؤثر مقایسه می‌کند.</t>
  </si>
  <si>
    <t xml:space="preserve">توان بازپرداخت</t>
  </si>
  <si>
    <t xml:space="preserve">با درآمد و سقف سهم قسط، حداکثر مبلغ وام متناسب را حساب می‌کند.</t>
  </si>
  <si>
    <t xml:space="preserve">جریمه‌ی دیرکرد</t>
  </si>
  <si>
    <t xml:space="preserve">جریمه‌ی تقریبی تأخیر در قسط را با نرخ و تعداد روز می‌دهد. نرخ‌ها و مقررات را از قرارداد و بانک بپرسید.</t>
  </si>
  <si>
    <t xml:space="preserve">روش محاسبه</t>
  </si>
  <si>
    <t xml:space="preserve">قسط ثابت با فرمول اقساط مساوی (PMT) و نرخ ماهانه = نرخ سالانه ÷ ۱۲. ممکن است محاسبه‌ی بانک شما (مثلاً روش روزشمار یا گرد‌کردن) اندکی تفاوت داشته باشد.</t>
  </si>
  <si>
    <t xml:space="preserve">رنگ‌ها</t>
  </si>
  <si>
    <t xml:space="preserve">متن آبی = ورودی · خانه‌ی زرد = تنظیمات · متن سبز = پیوند به برگه‌ی دیگر · آبی روشن = نتیجه.</t>
  </si>
  <si>
    <t xml:space="preserve">هشدار</t>
  </si>
  <si>
    <t xml:space="preserve">اعداد نمونه فرضی‌اند. این فایل ابزار آموزشی است و جایگزین قرارداد و محاسبه‌ی رسمی بانک نیست.</t>
  </si>
  <si>
    <t xml:space="preserve">ماشین‌حساب وام و تسهیلات</t>
  </si>
  <si>
    <t xml:space="preserve">مبلغ‌ها به یک واحد (تومان یا ریال) باشند. مقادیر نمونه فرضی‌اند؛ شرایط قرارداد خود را وارد کنید.</t>
  </si>
  <si>
    <t xml:space="preserve">ورودی‌ها</t>
  </si>
  <si>
    <t xml:space="preserve">مبلغ وام</t>
  </si>
  <si>
    <t xml:space="preserve">نرخ سود سالانه</t>
  </si>
  <si>
    <t xml:space="preserve">تعداد اقساط (ماه) — حداکثر ۱۲۰</t>
  </si>
  <si>
    <t xml:space="preserve">کارمزد ابتدایی (٪ از مبلغ وام)</t>
  </si>
  <si>
    <t xml:space="preserve">اگر در ابتدا کسر می‌شود وارد کنید</t>
  </si>
  <si>
    <t xml:space="preserve">نتایج</t>
  </si>
  <si>
    <t xml:space="preserve">نرخ ماهانه</t>
  </si>
  <si>
    <t xml:space="preserve">قسط ماهانه</t>
  </si>
  <si>
    <t xml:space="preserve">مجموع بازپرداخت</t>
  </si>
  <si>
    <t xml:space="preserve">مجموع سود</t>
  </si>
  <si>
    <t xml:space="preserve">کارمزد ابتدایی</t>
  </si>
  <si>
    <t xml:space="preserve">مبلغ خالص دریافتی</t>
  </si>
  <si>
    <t xml:space="preserve">هزینه‌ی کل (سود + کارمزد)</t>
  </si>
  <si>
    <t xml:space="preserve">نرخ مؤثر سالانه (اسمی = نرخ ماهانه×۱۲)</t>
  </si>
  <si>
    <t xml:space="preserve">نرخ مؤثر سالانه (مرکب)</t>
  </si>
  <si>
    <t xml:space="preserve">جدول اقساط (روش مانده‌ی کاهنده)</t>
  </si>
  <si>
    <t xml:space="preserve">ماه</t>
  </si>
  <si>
    <t xml:space="preserve">مانده‌ی ابتدای ماه</t>
  </si>
  <si>
    <t xml:space="preserve">قسط</t>
  </si>
  <si>
    <t xml:space="preserve">سهم سود</t>
  </si>
  <si>
    <t xml:space="preserve">سهم اصل</t>
  </si>
  <si>
    <t xml:space="preserve">مانده‌ی پایان ماه</t>
  </si>
  <si>
    <t xml:space="preserve">جمع سود</t>
  </si>
  <si>
    <t xml:space="preserve">جمع اصل</t>
  </si>
  <si>
    <t xml:space="preserve">الف) مانده‌ی کاهنده در برابر سود مقطوع (با همان مبلغ، نرخ و مدت ماشین‌حساب)</t>
  </si>
  <si>
    <t xml:space="preserve">شاخص</t>
  </si>
  <si>
    <t xml:space="preserve">مانده‌ی کاهنده</t>
  </si>
  <si>
    <t xml:space="preserve">سود مقطوع</t>
  </si>
  <si>
    <t xml:space="preserve">نرخ مؤثر سالانه (اسمی)</t>
  </si>
  <si>
    <t xml:space="preserve">ب) مقایسه‌ی دو پیشنهاد وام (مبلغ مشترک)</t>
  </si>
  <si>
    <t xml:space="preserve">پیشنهاد الف</t>
  </si>
  <si>
    <t xml:space="preserve">پیشنهاد ب</t>
  </si>
  <si>
    <t xml:space="preserve">نرخ سالانه</t>
  </si>
  <si>
    <t xml:space="preserve">تعداد اقساط</t>
  </si>
  <si>
    <t xml:space="preserve">کارمزد ابتدایی (٪)</t>
  </si>
  <si>
    <t xml:space="preserve">پیشنهاد ارزان‌تر</t>
  </si>
  <si>
    <t xml:space="preserve">توجه: اگر وام را زودتر تسویه کنید، کارمزد ابتدایی برگشت‌ناپذیر است؛ مقایسه‌ی بالا برای بازپرداخت کامل در مدت قرارداد است.</t>
  </si>
  <si>
    <t xml:space="preserve">توان بازپرداخت: چه وامی متناسب با درآمد من است؟</t>
  </si>
  <si>
    <t xml:space="preserve">سقف سهم قسط از درآمد را خودتان تعیین کنید؛ عدد نمونه توصیه‌ی بانکی نیست.</t>
  </si>
  <si>
    <t xml:space="preserve">درآمد ماهانه‌ی خالص</t>
  </si>
  <si>
    <t xml:space="preserve">اقساط فعلی در ماه</t>
  </si>
  <si>
    <t xml:space="preserve">حداکثر سهم کل اقساط از درآمد</t>
  </si>
  <si>
    <t xml:space="preserve">نرخ سود سالانه‌ی وام جدید</t>
  </si>
  <si>
    <t xml:space="preserve">تعداد اقساط وام جدید</t>
  </si>
  <si>
    <t xml:space="preserve">سقف قسط جدید</t>
  </si>
  <si>
    <t xml:space="preserve">حداکثر مبلغ وام متناسب با این قسط</t>
  </si>
  <si>
    <t xml:space="preserve">مجموع بازپرداخت این وام</t>
  </si>
  <si>
    <t xml:space="preserve">جریمه‌ی دیرکرد قسط</t>
  </si>
  <si>
    <t xml:space="preserve">فرمول آموزشی است. نرخ جریمه و مبنای روز را از قرارداد و بخشنامه‌ی جاری بانک مرکزی بگیرید؛ مقررات تغییر می‌کند.</t>
  </si>
  <si>
    <t xml:space="preserve">مبلغ قسط معوق</t>
  </si>
  <si>
    <t xml:space="preserve">نرخ سود وام</t>
  </si>
  <si>
    <t xml:space="preserve">نرخ اضافه‌ی جریمه (نمونه)</t>
  </si>
  <si>
    <t xml:space="preserve">در سال‌های اخیر معمولاً ۶ درصد؛ قرارداد را ببینید</t>
  </si>
  <si>
    <t xml:space="preserve">تعداد روز تأخیر</t>
  </si>
  <si>
    <t xml:space="preserve">مبنای روز در سال</t>
  </si>
  <si>
    <t xml:space="preserve">۳۶۵ یا ۳۶۰ طبق قرارداد</t>
  </si>
  <si>
    <t xml:space="preserve">نرخ سالانه‌ی جریمه</t>
  </si>
  <si>
    <t xml:space="preserve">مبلغ کل پرداختی برای این قسط</t>
  </si>
  <si>
    <t xml:space="preserve">Charts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</si>
</sst>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0%"/>
    <numFmt numFmtId="167" formatCode="0"/>
    <numFmt numFmtId="168" formatCode="0.000%"/>
    <numFmt numFmtId="169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C0504D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سهم اصل و سود در ۶۰ ماه اول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جدول_اقساط!E3</c:f>
              <c:strCache>
                <c:ptCount val="1"/>
                <c:pt idx="0">
                  <c:v>سهم اصل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جدول_اقساط!$A$4:$A$63</c:f>
              <c:strCach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جدول_اقساط!$E$4:$E$63</c:f>
              <c:numCache>
                <c:formatCode>#,##0</c:formatCode>
                <c:ptCount val="60"/>
                <c:pt idx="0">
                  <c:v>3320663.93631931</c:v>
                </c:pt>
                <c:pt idx="1">
                  <c:v>3384309.99509876</c:v>
                </c:pt>
                <c:pt idx="2">
                  <c:v>3449175.93667149</c:v>
                </c:pt>
                <c:pt idx="3">
                  <c:v>3515285.14212436</c:v>
                </c:pt>
                <c:pt idx="4">
                  <c:v>3582661.44068174</c:v>
                </c:pt>
                <c:pt idx="5">
                  <c:v>3651329.11829481</c:v>
                </c:pt>
                <c:pt idx="6">
                  <c:v>3721312.92639546</c:v>
                </c:pt>
                <c:pt idx="7">
                  <c:v>3792638.09081804</c:v>
                </c:pt>
                <c:pt idx="8">
                  <c:v>3865330.32089205</c:v>
                </c:pt>
                <c:pt idx="9">
                  <c:v>3939415.81870915</c:v>
                </c:pt>
                <c:pt idx="10">
                  <c:v>4014921.28856774</c:v>
                </c:pt>
                <c:pt idx="11">
                  <c:v>4091873.94659862</c:v>
                </c:pt>
                <c:pt idx="12">
                  <c:v>4170301.53057509</c:v>
                </c:pt>
                <c:pt idx="13">
                  <c:v>4250232.30991112</c:v>
                </c:pt>
                <c:pt idx="14">
                  <c:v>4331695.09585108</c:v>
                </c:pt>
                <c:pt idx="15">
                  <c:v>4414719.25185489</c:v>
                </c:pt>
                <c:pt idx="16">
                  <c:v>4499334.70418211</c:v>
                </c:pt>
                <c:pt idx="17">
                  <c:v>4585571.95267893</c:v>
                </c:pt>
                <c:pt idx="18">
                  <c:v>4673462.08177195</c:v>
                </c:pt>
                <c:pt idx="19">
                  <c:v>4763036.77167258</c:v>
                </c:pt>
                <c:pt idx="20">
                  <c:v>4854328.3097963</c:v>
                </c:pt>
                <c:pt idx="21">
                  <c:v>4947369.60240073</c:v>
                </c:pt>
                <c:pt idx="22">
                  <c:v>5042194.18644674</c:v>
                </c:pt>
                <c:pt idx="23">
                  <c:v>5138836.24168697</c:v>
                </c:pt>
              </c:numCache>
            </c:numRef>
          </c:val>
        </c:ser>
        <c:ser>
          <c:idx val="1"/>
          <c:order val="1"/>
          <c:tx>
            <c:strRef>
              <c:f>جدول_اقساط!D3</c:f>
              <c:strCache>
                <c:ptCount val="1"/>
                <c:pt idx="0">
                  <c:v>سهم سود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جدول_اقساط!$A$4:$A$63</c:f>
              <c:strCach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جدول_اقساط!$D$4:$D$63</c:f>
              <c:numCache>
                <c:formatCode>#,##0</c:formatCode>
                <c:ptCount val="60"/>
                <c:pt idx="0">
                  <c:v>1916666.66666667</c:v>
                </c:pt>
                <c:pt idx="1">
                  <c:v>1853020.60788721</c:v>
                </c:pt>
                <c:pt idx="2">
                  <c:v>1788154.66631449</c:v>
                </c:pt>
                <c:pt idx="3">
                  <c:v>1722045.46086162</c:v>
                </c:pt>
                <c:pt idx="4">
                  <c:v>1654669.16230423</c:v>
                </c:pt>
                <c:pt idx="5">
                  <c:v>1586001.48469117</c:v>
                </c:pt>
                <c:pt idx="6">
                  <c:v>1516017.67659052</c:v>
                </c:pt>
                <c:pt idx="7">
                  <c:v>1444692.51216794</c:v>
                </c:pt>
                <c:pt idx="8">
                  <c:v>1372000.28209392</c:v>
                </c:pt>
                <c:pt idx="9">
                  <c:v>1297914.78427683</c:v>
                </c:pt>
                <c:pt idx="10">
                  <c:v>1222409.31441824</c:v>
                </c:pt>
                <c:pt idx="11">
                  <c:v>1145456.65638735</c:v>
                </c:pt>
                <c:pt idx="12">
                  <c:v>1067029.07241088</c:v>
                </c:pt>
                <c:pt idx="13">
                  <c:v>987098.293074857</c:v>
                </c:pt>
                <c:pt idx="14">
                  <c:v>905635.507134894</c:v>
                </c:pt>
                <c:pt idx="15">
                  <c:v>822611.351131082</c:v>
                </c:pt>
                <c:pt idx="16">
                  <c:v>737995.898803863</c:v>
                </c:pt>
                <c:pt idx="17">
                  <c:v>651758.65030704</c:v>
                </c:pt>
                <c:pt idx="18">
                  <c:v>563868.521214027</c:v>
                </c:pt>
                <c:pt idx="19">
                  <c:v>474293.831313398</c:v>
                </c:pt>
                <c:pt idx="20">
                  <c:v>383002.293189673</c:v>
                </c:pt>
                <c:pt idx="21">
                  <c:v>289961.000585244</c:v>
                </c:pt>
                <c:pt idx="22">
                  <c:v>195136.41653923</c:v>
                </c:pt>
                <c:pt idx="23">
                  <c:v>98494.3612990009</c:v>
                </c:pt>
              </c:numCache>
            </c:numRef>
          </c:val>
        </c:ser>
        <c:gapWidth val="150"/>
        <c:overlap val="100"/>
        <c:axId val="15426110"/>
        <c:axId val="32819783"/>
      </c:barChart>
      <c:catAx>
        <c:axId val="154261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819783"/>
        <c:crosses val="autoZero"/>
        <c:auto val="1"/>
        <c:lblAlgn val="ctr"/>
        <c:lblOffset val="100"/>
        <c:noMultiLvlLbl val="0"/>
      </c:catAx>
      <c:valAx>
        <c:axId val="3281978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42611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مانده‌ی بدهی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جدول_اقساط!F3</c:f>
              <c:strCache>
                <c:ptCount val="1"/>
                <c:pt idx="0">
                  <c:v>مانده‌ی پایان ماه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جدول_اقساط!$A$4:$A$63</c:f>
              <c:strCach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جدول_اقساط!$F$4:$F$63</c:f>
              <c:numCache>
                <c:formatCode>#,##0</c:formatCode>
                <c:ptCount val="60"/>
                <c:pt idx="0">
                  <c:v>96679336.0636807</c:v>
                </c:pt>
                <c:pt idx="1">
                  <c:v>93295026.0685819</c:v>
                </c:pt>
                <c:pt idx="2">
                  <c:v>89845850.1319105</c:v>
                </c:pt>
                <c:pt idx="3">
                  <c:v>86330564.9897861</c:v>
                </c:pt>
                <c:pt idx="4">
                  <c:v>82747903.5491044</c:v>
                </c:pt>
                <c:pt idx="5">
                  <c:v>79096574.4308096</c:v>
                </c:pt>
                <c:pt idx="6">
                  <c:v>75375261.5044141</c:v>
                </c:pt>
                <c:pt idx="7">
                  <c:v>71582623.4135961</c:v>
                </c:pt>
                <c:pt idx="8">
                  <c:v>67717293.092704</c:v>
                </c:pt>
                <c:pt idx="9">
                  <c:v>63777877.2739949</c:v>
                </c:pt>
                <c:pt idx="10">
                  <c:v>59762955.9854271</c:v>
                </c:pt>
                <c:pt idx="11">
                  <c:v>55671082.0388285</c:v>
                </c:pt>
                <c:pt idx="12">
                  <c:v>51500780.5082534</c:v>
                </c:pt>
                <c:pt idx="13">
                  <c:v>47250548.1983423</c:v>
                </c:pt>
                <c:pt idx="14">
                  <c:v>42918853.1024912</c:v>
                </c:pt>
                <c:pt idx="15">
                  <c:v>38504133.8506363</c:v>
                </c:pt>
                <c:pt idx="16">
                  <c:v>34004799.1464542</c:v>
                </c:pt>
                <c:pt idx="17">
                  <c:v>29419227.1937753</c:v>
                </c:pt>
                <c:pt idx="18">
                  <c:v>24745765.1120034</c:v>
                </c:pt>
                <c:pt idx="19">
                  <c:v>19982728.3403308</c:v>
                </c:pt>
                <c:pt idx="20">
                  <c:v>15128400.0305345</c:v>
                </c:pt>
                <c:pt idx="21">
                  <c:v>10181030.4281337</c:v>
                </c:pt>
                <c:pt idx="22">
                  <c:v>5138836.241687</c:v>
                </c:pt>
                <c:pt idx="23">
                  <c:v>3.07336449623108E-008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6814297"/>
        <c:axId val="69297618"/>
      </c:lineChart>
      <c:catAx>
        <c:axId val="9681429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297618"/>
        <c:crosses val="autoZero"/>
        <c:auto val="1"/>
        <c:lblAlgn val="ctr"/>
        <c:lblOffset val="100"/>
        <c:noMultiLvlLbl val="0"/>
      </c:catAx>
      <c:valAx>
        <c:axId val="692976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81429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14</xdr:col>
      <xdr:colOff>78480</xdr:colOff>
      <xdr:row>22</xdr:row>
      <xdr:rowOff>119520</xdr:rowOff>
    </xdr:to>
    <xdr:graphicFrame>
      <xdr:nvGraphicFramePr>
        <xdr:cNvPr id="0" name="Chart 1"/>
        <xdr:cNvGraphicFramePr/>
      </xdr:nvGraphicFramePr>
      <xdr:xfrm>
        <a:off x="0" y="380880"/>
        <a:ext cx="863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160560</xdr:rowOff>
    </xdr:from>
    <xdr:to>
      <xdr:col>14</xdr:col>
      <xdr:colOff>78480</xdr:colOff>
      <xdr:row>41</xdr:row>
      <xdr:rowOff>161640</xdr:rowOff>
    </xdr:to>
    <xdr:graphicFrame>
      <xdr:nvGraphicFramePr>
        <xdr:cNvPr id="1" name="Chart 2"/>
        <xdr:cNvGraphicFramePr/>
      </xdr:nvGraphicFramePr>
      <xdr:xfrm>
        <a:off x="0" y="4762440"/>
        <a:ext cx="86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6" hidden="false" customHeight="true" outlineLevel="0" collapsed="false">
      <c r="A3" s="2" t="s">
        <v>1</v>
      </c>
      <c r="B3" s="3" t="s">
        <v>2</v>
      </c>
    </row>
    <row r="4" customFormat="false" ht="36" hidden="false" customHeight="true" outlineLevel="0" collapsed="false">
      <c r="A4" s="2" t="s">
        <v>3</v>
      </c>
      <c r="B4" s="3" t="s">
        <v>4</v>
      </c>
    </row>
    <row r="5" customFormat="false" ht="36" hidden="false" customHeight="true" outlineLevel="0" collapsed="false">
      <c r="A5" s="2" t="s">
        <v>5</v>
      </c>
      <c r="B5" s="3" t="s">
        <v>6</v>
      </c>
    </row>
    <row r="6" customFormat="false" ht="36" hidden="false" customHeight="true" outlineLevel="0" collapsed="false">
      <c r="A6" s="2" t="s">
        <v>7</v>
      </c>
      <c r="B6" s="3" t="s">
        <v>8</v>
      </c>
    </row>
    <row r="7" customFormat="false" ht="36" hidden="false" customHeight="true" outlineLevel="0" collapsed="false">
      <c r="A7" s="2" t="s">
        <v>9</v>
      </c>
      <c r="B7" s="3" t="s">
        <v>10</v>
      </c>
    </row>
    <row r="8" customFormat="false" ht="36" hidden="false" customHeight="true" outlineLevel="0" collapsed="false">
      <c r="A8" s="2" t="s">
        <v>11</v>
      </c>
      <c r="B8" s="3" t="s">
        <v>12</v>
      </c>
    </row>
    <row r="9" customFormat="false" ht="36" hidden="false" customHeight="true" outlineLevel="0" collapsed="false">
      <c r="A9" s="2" t="s">
        <v>13</v>
      </c>
      <c r="B9" s="3" t="s">
        <v>14</v>
      </c>
    </row>
    <row r="10" customFormat="false" ht="36" hidden="false" customHeight="true" outlineLevel="0" collapsed="false">
      <c r="A10" s="2" t="s">
        <v>15</v>
      </c>
      <c r="B10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4" t="s">
        <v>17</v>
      </c>
    </row>
    <row r="2" customFormat="false" ht="15" hidden="false" customHeight="false" outlineLevel="0" collapsed="false">
      <c r="A2" s="5" t="s">
        <v>18</v>
      </c>
    </row>
    <row r="3" customFormat="false" ht="15" hidden="false" customHeight="false" outlineLevel="0" collapsed="false">
      <c r="A3" s="6" t="s">
        <v>19</v>
      </c>
    </row>
    <row r="4" customFormat="false" ht="15" hidden="false" customHeight="false" outlineLevel="0" collapsed="false">
      <c r="A4" s="7" t="s">
        <v>20</v>
      </c>
      <c r="B4" s="8" t="n">
        <v>100000000</v>
      </c>
    </row>
    <row r="5" customFormat="false" ht="15" hidden="false" customHeight="false" outlineLevel="0" collapsed="false">
      <c r="A5" s="7" t="s">
        <v>21</v>
      </c>
      <c r="B5" s="9" t="n">
        <v>0.23</v>
      </c>
    </row>
    <row r="6" customFormat="false" ht="15" hidden="false" customHeight="false" outlineLevel="0" collapsed="false">
      <c r="A6" s="7" t="s">
        <v>22</v>
      </c>
      <c r="B6" s="10" t="n">
        <v>24</v>
      </c>
    </row>
    <row r="7" customFormat="false" ht="15" hidden="false" customHeight="false" outlineLevel="0" collapsed="false">
      <c r="A7" s="7" t="s">
        <v>23</v>
      </c>
      <c r="B7" s="9" t="n">
        <v>0</v>
      </c>
      <c r="C7" s="11" t="s">
        <v>24</v>
      </c>
    </row>
    <row r="9" customFormat="false" ht="15" hidden="false" customHeight="false" outlineLevel="0" collapsed="false">
      <c r="A9" s="6" t="s">
        <v>25</v>
      </c>
    </row>
    <row r="10" customFormat="false" ht="15" hidden="false" customHeight="false" outlineLevel="0" collapsed="false">
      <c r="A10" s="7" t="s">
        <v>26</v>
      </c>
      <c r="B10" s="12" t="n">
        <f aca="false">B5/12</f>
        <v>0.0191666666666667</v>
      </c>
    </row>
    <row r="11" customFormat="false" ht="15" hidden="false" customHeight="false" outlineLevel="0" collapsed="false">
      <c r="A11" s="7" t="s">
        <v>27</v>
      </c>
      <c r="B11" s="13" t="n">
        <f aca="false">IF(B5=0,B4/B6,-PMT(B10,B6,B4))</f>
        <v>5237330.60298597</v>
      </c>
    </row>
    <row r="12" customFormat="false" ht="15" hidden="false" customHeight="false" outlineLevel="0" collapsed="false">
      <c r="A12" s="7" t="s">
        <v>28</v>
      </c>
      <c r="B12" s="14" t="n">
        <f aca="false">B11*B6</f>
        <v>125695934.471663</v>
      </c>
    </row>
    <row r="13" customFormat="false" ht="15" hidden="false" customHeight="false" outlineLevel="0" collapsed="false">
      <c r="A13" s="7" t="s">
        <v>29</v>
      </c>
      <c r="B13" s="13" t="n">
        <f aca="false">B12-B4</f>
        <v>25695934.4716633</v>
      </c>
    </row>
    <row r="14" customFormat="false" ht="15" hidden="false" customHeight="false" outlineLevel="0" collapsed="false">
      <c r="A14" s="7" t="s">
        <v>30</v>
      </c>
      <c r="B14" s="14" t="n">
        <f aca="false">B4*B7</f>
        <v>0</v>
      </c>
    </row>
    <row r="15" customFormat="false" ht="15" hidden="false" customHeight="false" outlineLevel="0" collapsed="false">
      <c r="A15" s="7" t="s">
        <v>31</v>
      </c>
      <c r="B15" s="14" t="n">
        <f aca="false">B4-B14</f>
        <v>100000000</v>
      </c>
    </row>
    <row r="16" customFormat="false" ht="15" hidden="false" customHeight="false" outlineLevel="0" collapsed="false">
      <c r="A16" s="7" t="s">
        <v>32</v>
      </c>
      <c r="B16" s="13" t="n">
        <f aca="false">B13+B14</f>
        <v>25695934.4716633</v>
      </c>
    </row>
    <row r="17" customFormat="false" ht="15" hidden="false" customHeight="false" outlineLevel="0" collapsed="false">
      <c r="A17" s="7" t="s">
        <v>33</v>
      </c>
      <c r="B17" s="15" t="n">
        <f aca="false">IFERROR(RATE(B6,-B11,B15)*12,B5)</f>
        <v>0.229999999999999</v>
      </c>
    </row>
    <row r="18" customFormat="false" ht="15" hidden="false" customHeight="false" outlineLevel="0" collapsed="false">
      <c r="A18" s="7" t="s">
        <v>34</v>
      </c>
      <c r="B18" s="16" t="n">
        <f aca="false">IFERROR((1+RATE(B6,-B11,B15))^12-1,B5)</f>
        <v>0.255863770182519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5" min="3" style="0" width="16"/>
    <col collapsed="false" customWidth="true" hidden="false" outlineLevel="0" max="6" min="6" style="0" width="20"/>
    <col collapsed="false" customWidth="true" hidden="false" outlineLevel="0" max="7" min="7" style="0" width="3"/>
    <col collapsed="false" customWidth="true" hidden="false" outlineLevel="0" max="8" min="8" style="0" width="14"/>
    <col collapsed="false" customWidth="true" hidden="false" outlineLevel="0" max="9" min="9" style="0" width="18"/>
  </cols>
  <sheetData>
    <row r="1" customFormat="false" ht="17.15" hidden="false" customHeight="false" outlineLevel="0" collapsed="false">
      <c r="A1" s="4" t="s">
        <v>35</v>
      </c>
    </row>
    <row r="3" customFormat="false" ht="15" hidden="false" customHeight="false" outlineLevel="0" collapsed="false">
      <c r="A3" s="17" t="s">
        <v>36</v>
      </c>
      <c r="B3" s="17" t="s">
        <v>37</v>
      </c>
      <c r="C3" s="17" t="s">
        <v>38</v>
      </c>
      <c r="D3" s="17" t="s">
        <v>39</v>
      </c>
      <c r="E3" s="17" t="s">
        <v>40</v>
      </c>
      <c r="F3" s="17" t="s">
        <v>41</v>
      </c>
      <c r="H3" s="18" t="s">
        <v>42</v>
      </c>
      <c r="I3" s="19" t="n">
        <f aca="false">SUM(D4:D123)</f>
        <v>25695934.4716634</v>
      </c>
    </row>
    <row r="4" customFormat="false" ht="15" hidden="false" customHeight="false" outlineLevel="0" collapsed="false">
      <c r="A4" s="20" t="n">
        <f aca="false">IF(1&lt;=ماشین_حساب_وام!$B$6,1,"")</f>
        <v>1</v>
      </c>
      <c r="B4" s="14" t="n">
        <f aca="false">IF(A4="","",ماشین_حساب_وام!$B$4)</f>
        <v>100000000</v>
      </c>
      <c r="C4" s="14" t="n">
        <f aca="false">IF(A4="","",ماشین_حساب_وام!$B$11)</f>
        <v>5237330.60298597</v>
      </c>
      <c r="D4" s="14" t="n">
        <f aca="false">IF(A4="","",B4*ماشین_حساب_وام!$B$10)</f>
        <v>1916666.66666667</v>
      </c>
      <c r="E4" s="14" t="n">
        <f aca="false">IF(A4="","",C4-D4)</f>
        <v>3320663.93631931</v>
      </c>
      <c r="F4" s="14" t="n">
        <f aca="false">IF(A4="","",MAX(B4-E4,0))</f>
        <v>96679336.0636807</v>
      </c>
      <c r="H4" s="18" t="s">
        <v>43</v>
      </c>
      <c r="I4" s="19" t="n">
        <f aca="false">SUM(E4:E123)</f>
        <v>100000000</v>
      </c>
    </row>
    <row r="5" customFormat="false" ht="15" hidden="false" customHeight="false" outlineLevel="0" collapsed="false">
      <c r="A5" s="20" t="n">
        <f aca="false">IF(2&lt;=ماشین_حساب_وام!$B$6,2,"")</f>
        <v>2</v>
      </c>
      <c r="B5" s="14" t="n">
        <f aca="false">IF(A5="","",F4)</f>
        <v>96679336.0636807</v>
      </c>
      <c r="C5" s="14" t="n">
        <f aca="false">IF(A5="","",ماشین_حساب_وام!$B$11)</f>
        <v>5237330.60298597</v>
      </c>
      <c r="D5" s="14" t="n">
        <f aca="false">IF(A5="","",B5*ماشین_حساب_وام!$B$10)</f>
        <v>1853020.60788721</v>
      </c>
      <c r="E5" s="14" t="n">
        <f aca="false">IF(A5="","",C5-D5)</f>
        <v>3384309.99509876</v>
      </c>
      <c r="F5" s="14" t="n">
        <f aca="false">IF(A5="","",MAX(B5-E5,0))</f>
        <v>93295026.0685819</v>
      </c>
    </row>
    <row r="6" customFormat="false" ht="15" hidden="false" customHeight="false" outlineLevel="0" collapsed="false">
      <c r="A6" s="20" t="n">
        <f aca="false">IF(3&lt;=ماشین_حساب_وام!$B$6,3,"")</f>
        <v>3</v>
      </c>
      <c r="B6" s="14" t="n">
        <f aca="false">IF(A6="","",F5)</f>
        <v>93295026.0685819</v>
      </c>
      <c r="C6" s="14" t="n">
        <f aca="false">IF(A6="","",ماشین_حساب_وام!$B$11)</f>
        <v>5237330.60298597</v>
      </c>
      <c r="D6" s="14" t="n">
        <f aca="false">IF(A6="","",B6*ماشین_حساب_وام!$B$10)</f>
        <v>1788154.66631449</v>
      </c>
      <c r="E6" s="14" t="n">
        <f aca="false">IF(A6="","",C6-D6)</f>
        <v>3449175.93667149</v>
      </c>
      <c r="F6" s="14" t="n">
        <f aca="false">IF(A6="","",MAX(B6-E6,0))</f>
        <v>89845850.1319105</v>
      </c>
    </row>
    <row r="7" customFormat="false" ht="15" hidden="false" customHeight="false" outlineLevel="0" collapsed="false">
      <c r="A7" s="20" t="n">
        <f aca="false">IF(4&lt;=ماشین_حساب_وام!$B$6,4,"")</f>
        <v>4</v>
      </c>
      <c r="B7" s="14" t="n">
        <f aca="false">IF(A7="","",F6)</f>
        <v>89845850.1319105</v>
      </c>
      <c r="C7" s="14" t="n">
        <f aca="false">IF(A7="","",ماشین_حساب_وام!$B$11)</f>
        <v>5237330.60298597</v>
      </c>
      <c r="D7" s="14" t="n">
        <f aca="false">IF(A7="","",B7*ماشین_حساب_وام!$B$10)</f>
        <v>1722045.46086162</v>
      </c>
      <c r="E7" s="14" t="n">
        <f aca="false">IF(A7="","",C7-D7)</f>
        <v>3515285.14212436</v>
      </c>
      <c r="F7" s="14" t="n">
        <f aca="false">IF(A7="","",MAX(B7-E7,0))</f>
        <v>86330564.9897861</v>
      </c>
    </row>
    <row r="8" customFormat="false" ht="15" hidden="false" customHeight="false" outlineLevel="0" collapsed="false">
      <c r="A8" s="20" t="n">
        <f aca="false">IF(5&lt;=ماشین_حساب_وام!$B$6,5,"")</f>
        <v>5</v>
      </c>
      <c r="B8" s="14" t="n">
        <f aca="false">IF(A8="","",F7)</f>
        <v>86330564.9897861</v>
      </c>
      <c r="C8" s="14" t="n">
        <f aca="false">IF(A8="","",ماشین_حساب_وام!$B$11)</f>
        <v>5237330.60298597</v>
      </c>
      <c r="D8" s="14" t="n">
        <f aca="false">IF(A8="","",B8*ماشین_حساب_وام!$B$10)</f>
        <v>1654669.16230423</v>
      </c>
      <c r="E8" s="14" t="n">
        <f aca="false">IF(A8="","",C8-D8)</f>
        <v>3582661.44068174</v>
      </c>
      <c r="F8" s="14" t="n">
        <f aca="false">IF(A8="","",MAX(B8-E8,0))</f>
        <v>82747903.5491044</v>
      </c>
    </row>
    <row r="9" customFormat="false" ht="15" hidden="false" customHeight="false" outlineLevel="0" collapsed="false">
      <c r="A9" s="20" t="n">
        <f aca="false">IF(6&lt;=ماشین_حساب_وام!$B$6,6,"")</f>
        <v>6</v>
      </c>
      <c r="B9" s="14" t="n">
        <f aca="false">IF(A9="","",F8)</f>
        <v>82747903.5491044</v>
      </c>
      <c r="C9" s="14" t="n">
        <f aca="false">IF(A9="","",ماشین_حساب_وام!$B$11)</f>
        <v>5237330.60298597</v>
      </c>
      <c r="D9" s="14" t="n">
        <f aca="false">IF(A9="","",B9*ماشین_حساب_وام!$B$10)</f>
        <v>1586001.48469117</v>
      </c>
      <c r="E9" s="14" t="n">
        <f aca="false">IF(A9="","",C9-D9)</f>
        <v>3651329.11829481</v>
      </c>
      <c r="F9" s="14" t="n">
        <f aca="false">IF(A9="","",MAX(B9-E9,0))</f>
        <v>79096574.4308096</v>
      </c>
    </row>
    <row r="10" customFormat="false" ht="15" hidden="false" customHeight="false" outlineLevel="0" collapsed="false">
      <c r="A10" s="20" t="n">
        <f aca="false">IF(7&lt;=ماشین_حساب_وام!$B$6,7,"")</f>
        <v>7</v>
      </c>
      <c r="B10" s="14" t="n">
        <f aca="false">IF(A10="","",F9)</f>
        <v>79096574.4308096</v>
      </c>
      <c r="C10" s="14" t="n">
        <f aca="false">IF(A10="","",ماشین_حساب_وام!$B$11)</f>
        <v>5237330.60298597</v>
      </c>
      <c r="D10" s="14" t="n">
        <f aca="false">IF(A10="","",B10*ماشین_حساب_وام!$B$10)</f>
        <v>1516017.67659052</v>
      </c>
      <c r="E10" s="14" t="n">
        <f aca="false">IF(A10="","",C10-D10)</f>
        <v>3721312.92639546</v>
      </c>
      <c r="F10" s="14" t="n">
        <f aca="false">IF(A10="","",MAX(B10-E10,0))</f>
        <v>75375261.5044141</v>
      </c>
    </row>
    <row r="11" customFormat="false" ht="15" hidden="false" customHeight="false" outlineLevel="0" collapsed="false">
      <c r="A11" s="20" t="n">
        <f aca="false">IF(8&lt;=ماشین_حساب_وام!$B$6,8,"")</f>
        <v>8</v>
      </c>
      <c r="B11" s="14" t="n">
        <f aca="false">IF(A11="","",F10)</f>
        <v>75375261.5044141</v>
      </c>
      <c r="C11" s="14" t="n">
        <f aca="false">IF(A11="","",ماشین_حساب_وام!$B$11)</f>
        <v>5237330.60298597</v>
      </c>
      <c r="D11" s="14" t="n">
        <f aca="false">IF(A11="","",B11*ماشین_حساب_وام!$B$10)</f>
        <v>1444692.51216794</v>
      </c>
      <c r="E11" s="14" t="n">
        <f aca="false">IF(A11="","",C11-D11)</f>
        <v>3792638.09081804</v>
      </c>
      <c r="F11" s="14" t="n">
        <f aca="false">IF(A11="","",MAX(B11-E11,0))</f>
        <v>71582623.4135961</v>
      </c>
    </row>
    <row r="12" customFormat="false" ht="15" hidden="false" customHeight="false" outlineLevel="0" collapsed="false">
      <c r="A12" s="20" t="n">
        <f aca="false">IF(9&lt;=ماشین_حساب_وام!$B$6,9,"")</f>
        <v>9</v>
      </c>
      <c r="B12" s="14" t="n">
        <f aca="false">IF(A12="","",F11)</f>
        <v>71582623.4135961</v>
      </c>
      <c r="C12" s="14" t="n">
        <f aca="false">IF(A12="","",ماشین_حساب_وام!$B$11)</f>
        <v>5237330.60298597</v>
      </c>
      <c r="D12" s="14" t="n">
        <f aca="false">IF(A12="","",B12*ماشین_حساب_وام!$B$10)</f>
        <v>1372000.28209392</v>
      </c>
      <c r="E12" s="14" t="n">
        <f aca="false">IF(A12="","",C12-D12)</f>
        <v>3865330.32089205</v>
      </c>
      <c r="F12" s="14" t="n">
        <f aca="false">IF(A12="","",MAX(B12-E12,0))</f>
        <v>67717293.092704</v>
      </c>
    </row>
    <row r="13" customFormat="false" ht="15" hidden="false" customHeight="false" outlineLevel="0" collapsed="false">
      <c r="A13" s="20" t="n">
        <f aca="false">IF(10&lt;=ماشین_حساب_وام!$B$6,10,"")</f>
        <v>10</v>
      </c>
      <c r="B13" s="14" t="n">
        <f aca="false">IF(A13="","",F12)</f>
        <v>67717293.092704</v>
      </c>
      <c r="C13" s="14" t="n">
        <f aca="false">IF(A13="","",ماشین_حساب_وام!$B$11)</f>
        <v>5237330.60298597</v>
      </c>
      <c r="D13" s="14" t="n">
        <f aca="false">IF(A13="","",B13*ماشین_حساب_وام!$B$10)</f>
        <v>1297914.78427683</v>
      </c>
      <c r="E13" s="14" t="n">
        <f aca="false">IF(A13="","",C13-D13)</f>
        <v>3939415.81870915</v>
      </c>
      <c r="F13" s="14" t="n">
        <f aca="false">IF(A13="","",MAX(B13-E13,0))</f>
        <v>63777877.2739949</v>
      </c>
    </row>
    <row r="14" customFormat="false" ht="15" hidden="false" customHeight="false" outlineLevel="0" collapsed="false">
      <c r="A14" s="20" t="n">
        <f aca="false">IF(11&lt;=ماشین_حساب_وام!$B$6,11,"")</f>
        <v>11</v>
      </c>
      <c r="B14" s="14" t="n">
        <f aca="false">IF(A14="","",F13)</f>
        <v>63777877.2739949</v>
      </c>
      <c r="C14" s="14" t="n">
        <f aca="false">IF(A14="","",ماشین_حساب_وام!$B$11)</f>
        <v>5237330.60298597</v>
      </c>
      <c r="D14" s="14" t="n">
        <f aca="false">IF(A14="","",B14*ماشین_حساب_وام!$B$10)</f>
        <v>1222409.31441824</v>
      </c>
      <c r="E14" s="14" t="n">
        <f aca="false">IF(A14="","",C14-D14)</f>
        <v>4014921.28856774</v>
      </c>
      <c r="F14" s="14" t="n">
        <f aca="false">IF(A14="","",MAX(B14-E14,0))</f>
        <v>59762955.9854271</v>
      </c>
    </row>
    <row r="15" customFormat="false" ht="15" hidden="false" customHeight="false" outlineLevel="0" collapsed="false">
      <c r="A15" s="20" t="n">
        <f aca="false">IF(12&lt;=ماشین_حساب_وام!$B$6,12,"")</f>
        <v>12</v>
      </c>
      <c r="B15" s="14" t="n">
        <f aca="false">IF(A15="","",F14)</f>
        <v>59762955.9854271</v>
      </c>
      <c r="C15" s="14" t="n">
        <f aca="false">IF(A15="","",ماشین_حساب_وام!$B$11)</f>
        <v>5237330.60298597</v>
      </c>
      <c r="D15" s="14" t="n">
        <f aca="false">IF(A15="","",B15*ماشین_حساب_وام!$B$10)</f>
        <v>1145456.65638735</v>
      </c>
      <c r="E15" s="14" t="n">
        <f aca="false">IF(A15="","",C15-D15)</f>
        <v>4091873.94659862</v>
      </c>
      <c r="F15" s="14" t="n">
        <f aca="false">IF(A15="","",MAX(B15-E15,0))</f>
        <v>55671082.0388285</v>
      </c>
    </row>
    <row r="16" customFormat="false" ht="15" hidden="false" customHeight="false" outlineLevel="0" collapsed="false">
      <c r="A16" s="20" t="n">
        <f aca="false">IF(13&lt;=ماشین_حساب_وام!$B$6,13,"")</f>
        <v>13</v>
      </c>
      <c r="B16" s="14" t="n">
        <f aca="false">IF(A16="","",F15)</f>
        <v>55671082.0388285</v>
      </c>
      <c r="C16" s="14" t="n">
        <f aca="false">IF(A16="","",ماشین_حساب_وام!$B$11)</f>
        <v>5237330.60298597</v>
      </c>
      <c r="D16" s="14" t="n">
        <f aca="false">IF(A16="","",B16*ماشین_حساب_وام!$B$10)</f>
        <v>1067029.07241088</v>
      </c>
      <c r="E16" s="14" t="n">
        <f aca="false">IF(A16="","",C16-D16)</f>
        <v>4170301.53057509</v>
      </c>
      <c r="F16" s="14" t="n">
        <f aca="false">IF(A16="","",MAX(B16-E16,0))</f>
        <v>51500780.5082534</v>
      </c>
    </row>
    <row r="17" customFormat="false" ht="15" hidden="false" customHeight="false" outlineLevel="0" collapsed="false">
      <c r="A17" s="20" t="n">
        <f aca="false">IF(14&lt;=ماشین_حساب_وام!$B$6,14,"")</f>
        <v>14</v>
      </c>
      <c r="B17" s="14" t="n">
        <f aca="false">IF(A17="","",F16)</f>
        <v>51500780.5082534</v>
      </c>
      <c r="C17" s="14" t="n">
        <f aca="false">IF(A17="","",ماشین_حساب_وام!$B$11)</f>
        <v>5237330.60298597</v>
      </c>
      <c r="D17" s="14" t="n">
        <f aca="false">IF(A17="","",B17*ماشین_حساب_وام!$B$10)</f>
        <v>987098.293074857</v>
      </c>
      <c r="E17" s="14" t="n">
        <f aca="false">IF(A17="","",C17-D17)</f>
        <v>4250232.30991112</v>
      </c>
      <c r="F17" s="14" t="n">
        <f aca="false">IF(A17="","",MAX(B17-E17,0))</f>
        <v>47250548.1983423</v>
      </c>
    </row>
    <row r="18" customFormat="false" ht="15" hidden="false" customHeight="false" outlineLevel="0" collapsed="false">
      <c r="A18" s="20" t="n">
        <f aca="false">IF(15&lt;=ماشین_حساب_وام!$B$6,15,"")</f>
        <v>15</v>
      </c>
      <c r="B18" s="14" t="n">
        <f aca="false">IF(A18="","",F17)</f>
        <v>47250548.1983423</v>
      </c>
      <c r="C18" s="14" t="n">
        <f aca="false">IF(A18="","",ماشین_حساب_وام!$B$11)</f>
        <v>5237330.60298597</v>
      </c>
      <c r="D18" s="14" t="n">
        <f aca="false">IF(A18="","",B18*ماشین_حساب_وام!$B$10)</f>
        <v>905635.507134894</v>
      </c>
      <c r="E18" s="14" t="n">
        <f aca="false">IF(A18="","",C18-D18)</f>
        <v>4331695.09585108</v>
      </c>
      <c r="F18" s="14" t="n">
        <f aca="false">IF(A18="","",MAX(B18-E18,0))</f>
        <v>42918853.1024912</v>
      </c>
    </row>
    <row r="19" customFormat="false" ht="15" hidden="false" customHeight="false" outlineLevel="0" collapsed="false">
      <c r="A19" s="20" t="n">
        <f aca="false">IF(16&lt;=ماشین_حساب_وام!$B$6,16,"")</f>
        <v>16</v>
      </c>
      <c r="B19" s="14" t="n">
        <f aca="false">IF(A19="","",F18)</f>
        <v>42918853.1024912</v>
      </c>
      <c r="C19" s="14" t="n">
        <f aca="false">IF(A19="","",ماشین_حساب_وام!$B$11)</f>
        <v>5237330.60298597</v>
      </c>
      <c r="D19" s="14" t="n">
        <f aca="false">IF(A19="","",B19*ماشین_حساب_وام!$B$10)</f>
        <v>822611.351131082</v>
      </c>
      <c r="E19" s="14" t="n">
        <f aca="false">IF(A19="","",C19-D19)</f>
        <v>4414719.25185489</v>
      </c>
      <c r="F19" s="14" t="n">
        <f aca="false">IF(A19="","",MAX(B19-E19,0))</f>
        <v>38504133.8506363</v>
      </c>
    </row>
    <row r="20" customFormat="false" ht="15" hidden="false" customHeight="false" outlineLevel="0" collapsed="false">
      <c r="A20" s="20" t="n">
        <f aca="false">IF(17&lt;=ماشین_حساب_وام!$B$6,17,"")</f>
        <v>17</v>
      </c>
      <c r="B20" s="14" t="n">
        <f aca="false">IF(A20="","",F19)</f>
        <v>38504133.8506363</v>
      </c>
      <c r="C20" s="14" t="n">
        <f aca="false">IF(A20="","",ماشین_حساب_وام!$B$11)</f>
        <v>5237330.60298597</v>
      </c>
      <c r="D20" s="14" t="n">
        <f aca="false">IF(A20="","",B20*ماشین_حساب_وام!$B$10)</f>
        <v>737995.898803863</v>
      </c>
      <c r="E20" s="14" t="n">
        <f aca="false">IF(A20="","",C20-D20)</f>
        <v>4499334.70418211</v>
      </c>
      <c r="F20" s="14" t="n">
        <f aca="false">IF(A20="","",MAX(B20-E20,0))</f>
        <v>34004799.1464542</v>
      </c>
    </row>
    <row r="21" customFormat="false" ht="15" hidden="false" customHeight="false" outlineLevel="0" collapsed="false">
      <c r="A21" s="20" t="n">
        <f aca="false">IF(18&lt;=ماشین_حساب_وام!$B$6,18,"")</f>
        <v>18</v>
      </c>
      <c r="B21" s="14" t="n">
        <f aca="false">IF(A21="","",F20)</f>
        <v>34004799.1464542</v>
      </c>
      <c r="C21" s="14" t="n">
        <f aca="false">IF(A21="","",ماشین_حساب_وام!$B$11)</f>
        <v>5237330.60298597</v>
      </c>
      <c r="D21" s="14" t="n">
        <f aca="false">IF(A21="","",B21*ماشین_حساب_وام!$B$10)</f>
        <v>651758.65030704</v>
      </c>
      <c r="E21" s="14" t="n">
        <f aca="false">IF(A21="","",C21-D21)</f>
        <v>4585571.95267893</v>
      </c>
      <c r="F21" s="14" t="n">
        <f aca="false">IF(A21="","",MAX(B21-E21,0))</f>
        <v>29419227.1937753</v>
      </c>
    </row>
    <row r="22" customFormat="false" ht="15" hidden="false" customHeight="false" outlineLevel="0" collapsed="false">
      <c r="A22" s="20" t="n">
        <f aca="false">IF(19&lt;=ماشین_حساب_وام!$B$6,19,"")</f>
        <v>19</v>
      </c>
      <c r="B22" s="14" t="n">
        <f aca="false">IF(A22="","",F21)</f>
        <v>29419227.1937753</v>
      </c>
      <c r="C22" s="14" t="n">
        <f aca="false">IF(A22="","",ماشین_حساب_وام!$B$11)</f>
        <v>5237330.60298597</v>
      </c>
      <c r="D22" s="14" t="n">
        <f aca="false">IF(A22="","",B22*ماشین_حساب_وام!$B$10)</f>
        <v>563868.521214027</v>
      </c>
      <c r="E22" s="14" t="n">
        <f aca="false">IF(A22="","",C22-D22)</f>
        <v>4673462.08177195</v>
      </c>
      <c r="F22" s="14" t="n">
        <f aca="false">IF(A22="","",MAX(B22-E22,0))</f>
        <v>24745765.1120034</v>
      </c>
    </row>
    <row r="23" customFormat="false" ht="15" hidden="false" customHeight="false" outlineLevel="0" collapsed="false">
      <c r="A23" s="20" t="n">
        <f aca="false">IF(20&lt;=ماشین_حساب_وام!$B$6,20,"")</f>
        <v>20</v>
      </c>
      <c r="B23" s="14" t="n">
        <f aca="false">IF(A23="","",F22)</f>
        <v>24745765.1120034</v>
      </c>
      <c r="C23" s="14" t="n">
        <f aca="false">IF(A23="","",ماشین_حساب_وام!$B$11)</f>
        <v>5237330.60298597</v>
      </c>
      <c r="D23" s="14" t="n">
        <f aca="false">IF(A23="","",B23*ماشین_حساب_وام!$B$10)</f>
        <v>474293.831313398</v>
      </c>
      <c r="E23" s="14" t="n">
        <f aca="false">IF(A23="","",C23-D23)</f>
        <v>4763036.77167258</v>
      </c>
      <c r="F23" s="14" t="n">
        <f aca="false">IF(A23="","",MAX(B23-E23,0))</f>
        <v>19982728.3403308</v>
      </c>
    </row>
    <row r="24" customFormat="false" ht="15" hidden="false" customHeight="false" outlineLevel="0" collapsed="false">
      <c r="A24" s="20" t="n">
        <f aca="false">IF(21&lt;=ماشین_حساب_وام!$B$6,21,"")</f>
        <v>21</v>
      </c>
      <c r="B24" s="14" t="n">
        <f aca="false">IF(A24="","",F23)</f>
        <v>19982728.3403308</v>
      </c>
      <c r="C24" s="14" t="n">
        <f aca="false">IF(A24="","",ماشین_حساب_وام!$B$11)</f>
        <v>5237330.60298597</v>
      </c>
      <c r="D24" s="14" t="n">
        <f aca="false">IF(A24="","",B24*ماشین_حساب_وام!$B$10)</f>
        <v>383002.293189673</v>
      </c>
      <c r="E24" s="14" t="n">
        <f aca="false">IF(A24="","",C24-D24)</f>
        <v>4854328.3097963</v>
      </c>
      <c r="F24" s="14" t="n">
        <f aca="false">IF(A24="","",MAX(B24-E24,0))</f>
        <v>15128400.0305345</v>
      </c>
    </row>
    <row r="25" customFormat="false" ht="15" hidden="false" customHeight="false" outlineLevel="0" collapsed="false">
      <c r="A25" s="20" t="n">
        <f aca="false">IF(22&lt;=ماشین_حساب_وام!$B$6,22,"")</f>
        <v>22</v>
      </c>
      <c r="B25" s="14" t="n">
        <f aca="false">IF(A25="","",F24)</f>
        <v>15128400.0305345</v>
      </c>
      <c r="C25" s="14" t="n">
        <f aca="false">IF(A25="","",ماشین_حساب_وام!$B$11)</f>
        <v>5237330.60298597</v>
      </c>
      <c r="D25" s="14" t="n">
        <f aca="false">IF(A25="","",B25*ماشین_حساب_وام!$B$10)</f>
        <v>289961.000585244</v>
      </c>
      <c r="E25" s="14" t="n">
        <f aca="false">IF(A25="","",C25-D25)</f>
        <v>4947369.60240073</v>
      </c>
      <c r="F25" s="14" t="n">
        <f aca="false">IF(A25="","",MAX(B25-E25,0))</f>
        <v>10181030.4281337</v>
      </c>
    </row>
    <row r="26" customFormat="false" ht="15" hidden="false" customHeight="false" outlineLevel="0" collapsed="false">
      <c r="A26" s="20" t="n">
        <f aca="false">IF(23&lt;=ماشین_حساب_وام!$B$6,23,"")</f>
        <v>23</v>
      </c>
      <c r="B26" s="14" t="n">
        <f aca="false">IF(A26="","",F25)</f>
        <v>10181030.4281337</v>
      </c>
      <c r="C26" s="14" t="n">
        <f aca="false">IF(A26="","",ماشین_حساب_وام!$B$11)</f>
        <v>5237330.60298597</v>
      </c>
      <c r="D26" s="14" t="n">
        <f aca="false">IF(A26="","",B26*ماشین_حساب_وام!$B$10)</f>
        <v>195136.41653923</v>
      </c>
      <c r="E26" s="14" t="n">
        <f aca="false">IF(A26="","",C26-D26)</f>
        <v>5042194.18644674</v>
      </c>
      <c r="F26" s="14" t="n">
        <f aca="false">IF(A26="","",MAX(B26-E26,0))</f>
        <v>5138836.241687</v>
      </c>
    </row>
    <row r="27" customFormat="false" ht="15" hidden="false" customHeight="false" outlineLevel="0" collapsed="false">
      <c r="A27" s="20" t="n">
        <f aca="false">IF(24&lt;=ماشین_حساب_وام!$B$6,24,"")</f>
        <v>24</v>
      </c>
      <c r="B27" s="14" t="n">
        <f aca="false">IF(A27="","",F26)</f>
        <v>5138836.241687</v>
      </c>
      <c r="C27" s="14" t="n">
        <f aca="false">IF(A27="","",ماشین_حساب_وام!$B$11)</f>
        <v>5237330.60298597</v>
      </c>
      <c r="D27" s="14" t="n">
        <f aca="false">IF(A27="","",B27*ماشین_حساب_وام!$B$10)</f>
        <v>98494.3612990009</v>
      </c>
      <c r="E27" s="14" t="n">
        <f aca="false">IF(A27="","",C27-D27)</f>
        <v>5138836.24168697</v>
      </c>
      <c r="F27" s="14" t="n">
        <f aca="false">IF(A27="","",MAX(B27-E27,0))</f>
        <v>3.07336449623108E-008</v>
      </c>
    </row>
    <row r="28" customFormat="false" ht="15" hidden="false" customHeight="false" outlineLevel="0" collapsed="false">
      <c r="A28" s="20" t="str">
        <f aca="false">IF(25&lt;=ماشین_حساب_وام!$B$6,25,"")</f>
        <v/>
      </c>
      <c r="B28" s="14" t="str">
        <f aca="false">IF(A28="","",F27)</f>
        <v/>
      </c>
      <c r="C28" s="14" t="str">
        <f aca="false">IF(A28="","",ماشین_حساب_وام!$B$11)</f>
        <v/>
      </c>
      <c r="D28" s="14" t="str">
        <f aca="false">IF(A28="","",B28*ماشین_حساب_وام!$B$10)</f>
        <v/>
      </c>
      <c r="E28" s="14" t="str">
        <f aca="false">IF(A28="","",C28-D28)</f>
        <v/>
      </c>
      <c r="F28" s="14" t="str">
        <f aca="false">IF(A28="","",MAX(B28-E28,0))</f>
        <v/>
      </c>
    </row>
    <row r="29" customFormat="false" ht="15" hidden="false" customHeight="false" outlineLevel="0" collapsed="false">
      <c r="A29" s="20" t="str">
        <f aca="false">IF(26&lt;=ماشین_حساب_وام!$B$6,26,"")</f>
        <v/>
      </c>
      <c r="B29" s="14" t="str">
        <f aca="false">IF(A29="","",F28)</f>
        <v/>
      </c>
      <c r="C29" s="14" t="str">
        <f aca="false">IF(A29="","",ماشین_حساب_وام!$B$11)</f>
        <v/>
      </c>
      <c r="D29" s="14" t="str">
        <f aca="false">IF(A29="","",B29*ماشین_حساب_وام!$B$10)</f>
        <v/>
      </c>
      <c r="E29" s="14" t="str">
        <f aca="false">IF(A29="","",C29-D29)</f>
        <v/>
      </c>
      <c r="F29" s="14" t="str">
        <f aca="false">IF(A29="","",MAX(B29-E29,0))</f>
        <v/>
      </c>
    </row>
    <row r="30" customFormat="false" ht="15" hidden="false" customHeight="false" outlineLevel="0" collapsed="false">
      <c r="A30" s="20" t="str">
        <f aca="false">IF(27&lt;=ماشین_حساب_وام!$B$6,27,"")</f>
        <v/>
      </c>
      <c r="B30" s="14" t="str">
        <f aca="false">IF(A30="","",F29)</f>
        <v/>
      </c>
      <c r="C30" s="14" t="str">
        <f aca="false">IF(A30="","",ماشین_حساب_وام!$B$11)</f>
        <v/>
      </c>
      <c r="D30" s="14" t="str">
        <f aca="false">IF(A30="","",B30*ماشین_حساب_وام!$B$10)</f>
        <v/>
      </c>
      <c r="E30" s="14" t="str">
        <f aca="false">IF(A30="","",C30-D30)</f>
        <v/>
      </c>
      <c r="F30" s="14" t="str">
        <f aca="false">IF(A30="","",MAX(B30-E30,0))</f>
        <v/>
      </c>
    </row>
    <row r="31" customFormat="false" ht="15" hidden="false" customHeight="false" outlineLevel="0" collapsed="false">
      <c r="A31" s="20" t="str">
        <f aca="false">IF(28&lt;=ماشین_حساب_وام!$B$6,28,"")</f>
        <v/>
      </c>
      <c r="B31" s="14" t="str">
        <f aca="false">IF(A31="","",F30)</f>
        <v/>
      </c>
      <c r="C31" s="14" t="str">
        <f aca="false">IF(A31="","",ماشین_حساب_وام!$B$11)</f>
        <v/>
      </c>
      <c r="D31" s="14" t="str">
        <f aca="false">IF(A31="","",B31*ماشین_حساب_وام!$B$10)</f>
        <v/>
      </c>
      <c r="E31" s="14" t="str">
        <f aca="false">IF(A31="","",C31-D31)</f>
        <v/>
      </c>
      <c r="F31" s="14" t="str">
        <f aca="false">IF(A31="","",MAX(B31-E31,0))</f>
        <v/>
      </c>
    </row>
    <row r="32" customFormat="false" ht="15" hidden="false" customHeight="false" outlineLevel="0" collapsed="false">
      <c r="A32" s="20" t="str">
        <f aca="false">IF(29&lt;=ماشین_حساب_وام!$B$6,29,"")</f>
        <v/>
      </c>
      <c r="B32" s="14" t="str">
        <f aca="false">IF(A32="","",F31)</f>
        <v/>
      </c>
      <c r="C32" s="14" t="str">
        <f aca="false">IF(A32="","",ماشین_حساب_وام!$B$11)</f>
        <v/>
      </c>
      <c r="D32" s="14" t="str">
        <f aca="false">IF(A32="","",B32*ماشین_حساب_وام!$B$10)</f>
        <v/>
      </c>
      <c r="E32" s="14" t="str">
        <f aca="false">IF(A32="","",C32-D32)</f>
        <v/>
      </c>
      <c r="F32" s="14" t="str">
        <f aca="false">IF(A32="","",MAX(B32-E32,0))</f>
        <v/>
      </c>
    </row>
    <row r="33" customFormat="false" ht="15" hidden="false" customHeight="false" outlineLevel="0" collapsed="false">
      <c r="A33" s="20" t="str">
        <f aca="false">IF(30&lt;=ماشین_حساب_وام!$B$6,30,"")</f>
        <v/>
      </c>
      <c r="B33" s="14" t="str">
        <f aca="false">IF(A33="","",F32)</f>
        <v/>
      </c>
      <c r="C33" s="14" t="str">
        <f aca="false">IF(A33="","",ماشین_حساب_وام!$B$11)</f>
        <v/>
      </c>
      <c r="D33" s="14" t="str">
        <f aca="false">IF(A33="","",B33*ماشین_حساب_وام!$B$10)</f>
        <v/>
      </c>
      <c r="E33" s="14" t="str">
        <f aca="false">IF(A33="","",C33-D33)</f>
        <v/>
      </c>
      <c r="F33" s="14" t="str">
        <f aca="false">IF(A33="","",MAX(B33-E33,0))</f>
        <v/>
      </c>
    </row>
    <row r="34" customFormat="false" ht="15" hidden="false" customHeight="false" outlineLevel="0" collapsed="false">
      <c r="A34" s="20" t="str">
        <f aca="false">IF(31&lt;=ماشین_حساب_وام!$B$6,31,"")</f>
        <v/>
      </c>
      <c r="B34" s="14" t="str">
        <f aca="false">IF(A34="","",F33)</f>
        <v/>
      </c>
      <c r="C34" s="14" t="str">
        <f aca="false">IF(A34="","",ماشین_حساب_وام!$B$11)</f>
        <v/>
      </c>
      <c r="D34" s="14" t="str">
        <f aca="false">IF(A34="","",B34*ماشین_حساب_وام!$B$10)</f>
        <v/>
      </c>
      <c r="E34" s="14" t="str">
        <f aca="false">IF(A34="","",C34-D34)</f>
        <v/>
      </c>
      <c r="F34" s="14" t="str">
        <f aca="false">IF(A34="","",MAX(B34-E34,0))</f>
        <v/>
      </c>
    </row>
    <row r="35" customFormat="false" ht="15" hidden="false" customHeight="false" outlineLevel="0" collapsed="false">
      <c r="A35" s="20" t="str">
        <f aca="false">IF(32&lt;=ماشین_حساب_وام!$B$6,32,"")</f>
        <v/>
      </c>
      <c r="B35" s="14" t="str">
        <f aca="false">IF(A35="","",F34)</f>
        <v/>
      </c>
      <c r="C35" s="14" t="str">
        <f aca="false">IF(A35="","",ماشین_حساب_وام!$B$11)</f>
        <v/>
      </c>
      <c r="D35" s="14" t="str">
        <f aca="false">IF(A35="","",B35*ماشین_حساب_وام!$B$10)</f>
        <v/>
      </c>
      <c r="E35" s="14" t="str">
        <f aca="false">IF(A35="","",C35-D35)</f>
        <v/>
      </c>
      <c r="F35" s="14" t="str">
        <f aca="false">IF(A35="","",MAX(B35-E35,0))</f>
        <v/>
      </c>
    </row>
    <row r="36" customFormat="false" ht="15" hidden="false" customHeight="false" outlineLevel="0" collapsed="false">
      <c r="A36" s="20" t="str">
        <f aca="false">IF(33&lt;=ماشین_حساب_وام!$B$6,33,"")</f>
        <v/>
      </c>
      <c r="B36" s="14" t="str">
        <f aca="false">IF(A36="","",F35)</f>
        <v/>
      </c>
      <c r="C36" s="14" t="str">
        <f aca="false">IF(A36="","",ماشین_حساب_وام!$B$11)</f>
        <v/>
      </c>
      <c r="D36" s="14" t="str">
        <f aca="false">IF(A36="","",B36*ماشین_حساب_وام!$B$10)</f>
        <v/>
      </c>
      <c r="E36" s="14" t="str">
        <f aca="false">IF(A36="","",C36-D36)</f>
        <v/>
      </c>
      <c r="F36" s="14" t="str">
        <f aca="false">IF(A36="","",MAX(B36-E36,0))</f>
        <v/>
      </c>
    </row>
    <row r="37" customFormat="false" ht="15" hidden="false" customHeight="false" outlineLevel="0" collapsed="false">
      <c r="A37" s="20" t="str">
        <f aca="false">IF(34&lt;=ماشین_حساب_وام!$B$6,34,"")</f>
        <v/>
      </c>
      <c r="B37" s="14" t="str">
        <f aca="false">IF(A37="","",F36)</f>
        <v/>
      </c>
      <c r="C37" s="14" t="str">
        <f aca="false">IF(A37="","",ماشین_حساب_وام!$B$11)</f>
        <v/>
      </c>
      <c r="D37" s="14" t="str">
        <f aca="false">IF(A37="","",B37*ماشین_حساب_وام!$B$10)</f>
        <v/>
      </c>
      <c r="E37" s="14" t="str">
        <f aca="false">IF(A37="","",C37-D37)</f>
        <v/>
      </c>
      <c r="F37" s="14" t="str">
        <f aca="false">IF(A37="","",MAX(B37-E37,0))</f>
        <v/>
      </c>
    </row>
    <row r="38" customFormat="false" ht="15" hidden="false" customHeight="false" outlineLevel="0" collapsed="false">
      <c r="A38" s="20" t="str">
        <f aca="false">IF(35&lt;=ماشین_حساب_وام!$B$6,35,"")</f>
        <v/>
      </c>
      <c r="B38" s="14" t="str">
        <f aca="false">IF(A38="","",F37)</f>
        <v/>
      </c>
      <c r="C38" s="14" t="str">
        <f aca="false">IF(A38="","",ماشین_حساب_وام!$B$11)</f>
        <v/>
      </c>
      <c r="D38" s="14" t="str">
        <f aca="false">IF(A38="","",B38*ماشین_حساب_وام!$B$10)</f>
        <v/>
      </c>
      <c r="E38" s="14" t="str">
        <f aca="false">IF(A38="","",C38-D38)</f>
        <v/>
      </c>
      <c r="F38" s="14" t="str">
        <f aca="false">IF(A38="","",MAX(B38-E38,0))</f>
        <v/>
      </c>
    </row>
    <row r="39" customFormat="false" ht="15" hidden="false" customHeight="false" outlineLevel="0" collapsed="false">
      <c r="A39" s="20" t="str">
        <f aca="false">IF(36&lt;=ماشین_حساب_وام!$B$6,36,"")</f>
        <v/>
      </c>
      <c r="B39" s="14" t="str">
        <f aca="false">IF(A39="","",F38)</f>
        <v/>
      </c>
      <c r="C39" s="14" t="str">
        <f aca="false">IF(A39="","",ماشین_حساب_وام!$B$11)</f>
        <v/>
      </c>
      <c r="D39" s="14" t="str">
        <f aca="false">IF(A39="","",B39*ماشین_حساب_وام!$B$10)</f>
        <v/>
      </c>
      <c r="E39" s="14" t="str">
        <f aca="false">IF(A39="","",C39-D39)</f>
        <v/>
      </c>
      <c r="F39" s="14" t="str">
        <f aca="false">IF(A39="","",MAX(B39-E39,0))</f>
        <v/>
      </c>
    </row>
    <row r="40" customFormat="false" ht="15" hidden="false" customHeight="false" outlineLevel="0" collapsed="false">
      <c r="A40" s="20" t="str">
        <f aca="false">IF(37&lt;=ماشین_حساب_وام!$B$6,37,"")</f>
        <v/>
      </c>
      <c r="B40" s="14" t="str">
        <f aca="false">IF(A40="","",F39)</f>
        <v/>
      </c>
      <c r="C40" s="14" t="str">
        <f aca="false">IF(A40="","",ماشین_حساب_وام!$B$11)</f>
        <v/>
      </c>
      <c r="D40" s="14" t="str">
        <f aca="false">IF(A40="","",B40*ماشین_حساب_وام!$B$10)</f>
        <v/>
      </c>
      <c r="E40" s="14" t="str">
        <f aca="false">IF(A40="","",C40-D40)</f>
        <v/>
      </c>
      <c r="F40" s="14" t="str">
        <f aca="false">IF(A40="","",MAX(B40-E40,0))</f>
        <v/>
      </c>
    </row>
    <row r="41" customFormat="false" ht="15" hidden="false" customHeight="false" outlineLevel="0" collapsed="false">
      <c r="A41" s="20" t="str">
        <f aca="false">IF(38&lt;=ماشین_حساب_وام!$B$6,38,"")</f>
        <v/>
      </c>
      <c r="B41" s="14" t="str">
        <f aca="false">IF(A41="","",F40)</f>
        <v/>
      </c>
      <c r="C41" s="14" t="str">
        <f aca="false">IF(A41="","",ماشین_حساب_وام!$B$11)</f>
        <v/>
      </c>
      <c r="D41" s="14" t="str">
        <f aca="false">IF(A41="","",B41*ماشین_حساب_وام!$B$10)</f>
        <v/>
      </c>
      <c r="E41" s="14" t="str">
        <f aca="false">IF(A41="","",C41-D41)</f>
        <v/>
      </c>
      <c r="F41" s="14" t="str">
        <f aca="false">IF(A41="","",MAX(B41-E41,0))</f>
        <v/>
      </c>
    </row>
    <row r="42" customFormat="false" ht="15" hidden="false" customHeight="false" outlineLevel="0" collapsed="false">
      <c r="A42" s="20" t="str">
        <f aca="false">IF(39&lt;=ماشین_حساب_وام!$B$6,39,"")</f>
        <v/>
      </c>
      <c r="B42" s="14" t="str">
        <f aca="false">IF(A42="","",F41)</f>
        <v/>
      </c>
      <c r="C42" s="14" t="str">
        <f aca="false">IF(A42="","",ماشین_حساب_وام!$B$11)</f>
        <v/>
      </c>
      <c r="D42" s="14" t="str">
        <f aca="false">IF(A42="","",B42*ماشین_حساب_وام!$B$10)</f>
        <v/>
      </c>
      <c r="E42" s="14" t="str">
        <f aca="false">IF(A42="","",C42-D42)</f>
        <v/>
      </c>
      <c r="F42" s="14" t="str">
        <f aca="false">IF(A42="","",MAX(B42-E42,0))</f>
        <v/>
      </c>
    </row>
    <row r="43" customFormat="false" ht="15" hidden="false" customHeight="false" outlineLevel="0" collapsed="false">
      <c r="A43" s="20" t="str">
        <f aca="false">IF(40&lt;=ماشین_حساب_وام!$B$6,40,"")</f>
        <v/>
      </c>
      <c r="B43" s="14" t="str">
        <f aca="false">IF(A43="","",F42)</f>
        <v/>
      </c>
      <c r="C43" s="14" t="str">
        <f aca="false">IF(A43="","",ماشین_حساب_وام!$B$11)</f>
        <v/>
      </c>
      <c r="D43" s="14" t="str">
        <f aca="false">IF(A43="","",B43*ماشین_حساب_وام!$B$10)</f>
        <v/>
      </c>
      <c r="E43" s="14" t="str">
        <f aca="false">IF(A43="","",C43-D43)</f>
        <v/>
      </c>
      <c r="F43" s="14" t="str">
        <f aca="false">IF(A43="","",MAX(B43-E43,0))</f>
        <v/>
      </c>
    </row>
    <row r="44" customFormat="false" ht="15" hidden="false" customHeight="false" outlineLevel="0" collapsed="false">
      <c r="A44" s="20" t="str">
        <f aca="false">IF(41&lt;=ماشین_حساب_وام!$B$6,41,"")</f>
        <v/>
      </c>
      <c r="B44" s="14" t="str">
        <f aca="false">IF(A44="","",F43)</f>
        <v/>
      </c>
      <c r="C44" s="14" t="str">
        <f aca="false">IF(A44="","",ماشین_حساب_وام!$B$11)</f>
        <v/>
      </c>
      <c r="D44" s="14" t="str">
        <f aca="false">IF(A44="","",B44*ماشین_حساب_وام!$B$10)</f>
        <v/>
      </c>
      <c r="E44" s="14" t="str">
        <f aca="false">IF(A44="","",C44-D44)</f>
        <v/>
      </c>
      <c r="F44" s="14" t="str">
        <f aca="false">IF(A44="","",MAX(B44-E44,0))</f>
        <v/>
      </c>
    </row>
    <row r="45" customFormat="false" ht="15" hidden="false" customHeight="false" outlineLevel="0" collapsed="false">
      <c r="A45" s="20" t="str">
        <f aca="false">IF(42&lt;=ماشین_حساب_وام!$B$6,42,"")</f>
        <v/>
      </c>
      <c r="B45" s="14" t="str">
        <f aca="false">IF(A45="","",F44)</f>
        <v/>
      </c>
      <c r="C45" s="14" t="str">
        <f aca="false">IF(A45="","",ماشین_حساب_وام!$B$11)</f>
        <v/>
      </c>
      <c r="D45" s="14" t="str">
        <f aca="false">IF(A45="","",B45*ماشین_حساب_وام!$B$10)</f>
        <v/>
      </c>
      <c r="E45" s="14" t="str">
        <f aca="false">IF(A45="","",C45-D45)</f>
        <v/>
      </c>
      <c r="F45" s="14" t="str">
        <f aca="false">IF(A45="","",MAX(B45-E45,0))</f>
        <v/>
      </c>
    </row>
    <row r="46" customFormat="false" ht="15" hidden="false" customHeight="false" outlineLevel="0" collapsed="false">
      <c r="A46" s="20" t="str">
        <f aca="false">IF(43&lt;=ماشین_حساب_وام!$B$6,43,"")</f>
        <v/>
      </c>
      <c r="B46" s="14" t="str">
        <f aca="false">IF(A46="","",F45)</f>
        <v/>
      </c>
      <c r="C46" s="14" t="str">
        <f aca="false">IF(A46="","",ماشین_حساب_وام!$B$11)</f>
        <v/>
      </c>
      <c r="D46" s="14" t="str">
        <f aca="false">IF(A46="","",B46*ماشین_حساب_وام!$B$10)</f>
        <v/>
      </c>
      <c r="E46" s="14" t="str">
        <f aca="false">IF(A46="","",C46-D46)</f>
        <v/>
      </c>
      <c r="F46" s="14" t="str">
        <f aca="false">IF(A46="","",MAX(B46-E46,0))</f>
        <v/>
      </c>
    </row>
    <row r="47" customFormat="false" ht="15" hidden="false" customHeight="false" outlineLevel="0" collapsed="false">
      <c r="A47" s="20" t="str">
        <f aca="false">IF(44&lt;=ماشین_حساب_وام!$B$6,44,"")</f>
        <v/>
      </c>
      <c r="B47" s="14" t="str">
        <f aca="false">IF(A47="","",F46)</f>
        <v/>
      </c>
      <c r="C47" s="14" t="str">
        <f aca="false">IF(A47="","",ماشین_حساب_وام!$B$11)</f>
        <v/>
      </c>
      <c r="D47" s="14" t="str">
        <f aca="false">IF(A47="","",B47*ماشین_حساب_وام!$B$10)</f>
        <v/>
      </c>
      <c r="E47" s="14" t="str">
        <f aca="false">IF(A47="","",C47-D47)</f>
        <v/>
      </c>
      <c r="F47" s="14" t="str">
        <f aca="false">IF(A47="","",MAX(B47-E47,0))</f>
        <v/>
      </c>
    </row>
    <row r="48" customFormat="false" ht="15" hidden="false" customHeight="false" outlineLevel="0" collapsed="false">
      <c r="A48" s="20" t="str">
        <f aca="false">IF(45&lt;=ماشین_حساب_وام!$B$6,45,"")</f>
        <v/>
      </c>
      <c r="B48" s="14" t="str">
        <f aca="false">IF(A48="","",F47)</f>
        <v/>
      </c>
      <c r="C48" s="14" t="str">
        <f aca="false">IF(A48="","",ماشین_حساب_وام!$B$11)</f>
        <v/>
      </c>
      <c r="D48" s="14" t="str">
        <f aca="false">IF(A48="","",B48*ماشین_حساب_وام!$B$10)</f>
        <v/>
      </c>
      <c r="E48" s="14" t="str">
        <f aca="false">IF(A48="","",C48-D48)</f>
        <v/>
      </c>
      <c r="F48" s="14" t="str">
        <f aca="false">IF(A48="","",MAX(B48-E48,0))</f>
        <v/>
      </c>
    </row>
    <row r="49" customFormat="false" ht="15" hidden="false" customHeight="false" outlineLevel="0" collapsed="false">
      <c r="A49" s="20" t="str">
        <f aca="false">IF(46&lt;=ماشین_حساب_وام!$B$6,46,"")</f>
        <v/>
      </c>
      <c r="B49" s="14" t="str">
        <f aca="false">IF(A49="","",F48)</f>
        <v/>
      </c>
      <c r="C49" s="14" t="str">
        <f aca="false">IF(A49="","",ماشین_حساب_وام!$B$11)</f>
        <v/>
      </c>
      <c r="D49" s="14" t="str">
        <f aca="false">IF(A49="","",B49*ماشین_حساب_وام!$B$10)</f>
        <v/>
      </c>
      <c r="E49" s="14" t="str">
        <f aca="false">IF(A49="","",C49-D49)</f>
        <v/>
      </c>
      <c r="F49" s="14" t="str">
        <f aca="false">IF(A49="","",MAX(B49-E49,0))</f>
        <v/>
      </c>
    </row>
    <row r="50" customFormat="false" ht="15" hidden="false" customHeight="false" outlineLevel="0" collapsed="false">
      <c r="A50" s="20" t="str">
        <f aca="false">IF(47&lt;=ماشین_حساب_وام!$B$6,47,"")</f>
        <v/>
      </c>
      <c r="B50" s="14" t="str">
        <f aca="false">IF(A50="","",F49)</f>
        <v/>
      </c>
      <c r="C50" s="14" t="str">
        <f aca="false">IF(A50="","",ماشین_حساب_وام!$B$11)</f>
        <v/>
      </c>
      <c r="D50" s="14" t="str">
        <f aca="false">IF(A50="","",B50*ماشین_حساب_وام!$B$10)</f>
        <v/>
      </c>
      <c r="E50" s="14" t="str">
        <f aca="false">IF(A50="","",C50-D50)</f>
        <v/>
      </c>
      <c r="F50" s="14" t="str">
        <f aca="false">IF(A50="","",MAX(B50-E50,0))</f>
        <v/>
      </c>
    </row>
    <row r="51" customFormat="false" ht="15" hidden="false" customHeight="false" outlineLevel="0" collapsed="false">
      <c r="A51" s="20" t="str">
        <f aca="false">IF(48&lt;=ماشین_حساب_وام!$B$6,48,"")</f>
        <v/>
      </c>
      <c r="B51" s="14" t="str">
        <f aca="false">IF(A51="","",F50)</f>
        <v/>
      </c>
      <c r="C51" s="14" t="str">
        <f aca="false">IF(A51="","",ماشین_حساب_وام!$B$11)</f>
        <v/>
      </c>
      <c r="D51" s="14" t="str">
        <f aca="false">IF(A51="","",B51*ماشین_حساب_وام!$B$10)</f>
        <v/>
      </c>
      <c r="E51" s="14" t="str">
        <f aca="false">IF(A51="","",C51-D51)</f>
        <v/>
      </c>
      <c r="F51" s="14" t="str">
        <f aca="false">IF(A51="","",MAX(B51-E51,0))</f>
        <v/>
      </c>
    </row>
    <row r="52" customFormat="false" ht="15" hidden="false" customHeight="false" outlineLevel="0" collapsed="false">
      <c r="A52" s="20" t="str">
        <f aca="false">IF(49&lt;=ماشین_حساب_وام!$B$6,49,"")</f>
        <v/>
      </c>
      <c r="B52" s="14" t="str">
        <f aca="false">IF(A52="","",F51)</f>
        <v/>
      </c>
      <c r="C52" s="14" t="str">
        <f aca="false">IF(A52="","",ماشین_حساب_وام!$B$11)</f>
        <v/>
      </c>
      <c r="D52" s="14" t="str">
        <f aca="false">IF(A52="","",B52*ماشین_حساب_وام!$B$10)</f>
        <v/>
      </c>
      <c r="E52" s="14" t="str">
        <f aca="false">IF(A52="","",C52-D52)</f>
        <v/>
      </c>
      <c r="F52" s="14" t="str">
        <f aca="false">IF(A52="","",MAX(B52-E52,0))</f>
        <v/>
      </c>
    </row>
    <row r="53" customFormat="false" ht="15" hidden="false" customHeight="false" outlineLevel="0" collapsed="false">
      <c r="A53" s="20" t="str">
        <f aca="false">IF(50&lt;=ماشین_حساب_وام!$B$6,50,"")</f>
        <v/>
      </c>
      <c r="B53" s="14" t="str">
        <f aca="false">IF(A53="","",F52)</f>
        <v/>
      </c>
      <c r="C53" s="14" t="str">
        <f aca="false">IF(A53="","",ماشین_حساب_وام!$B$11)</f>
        <v/>
      </c>
      <c r="D53" s="14" t="str">
        <f aca="false">IF(A53="","",B53*ماشین_حساب_وام!$B$10)</f>
        <v/>
      </c>
      <c r="E53" s="14" t="str">
        <f aca="false">IF(A53="","",C53-D53)</f>
        <v/>
      </c>
      <c r="F53" s="14" t="str">
        <f aca="false">IF(A53="","",MAX(B53-E53,0))</f>
        <v/>
      </c>
    </row>
    <row r="54" customFormat="false" ht="15" hidden="false" customHeight="false" outlineLevel="0" collapsed="false">
      <c r="A54" s="20" t="str">
        <f aca="false">IF(51&lt;=ماشین_حساب_وام!$B$6,51,"")</f>
        <v/>
      </c>
      <c r="B54" s="14" t="str">
        <f aca="false">IF(A54="","",F53)</f>
        <v/>
      </c>
      <c r="C54" s="14" t="str">
        <f aca="false">IF(A54="","",ماشین_حساب_وام!$B$11)</f>
        <v/>
      </c>
      <c r="D54" s="14" t="str">
        <f aca="false">IF(A54="","",B54*ماشین_حساب_وام!$B$10)</f>
        <v/>
      </c>
      <c r="E54" s="14" t="str">
        <f aca="false">IF(A54="","",C54-D54)</f>
        <v/>
      </c>
      <c r="F54" s="14" t="str">
        <f aca="false">IF(A54="","",MAX(B54-E54,0))</f>
        <v/>
      </c>
    </row>
    <row r="55" customFormat="false" ht="15" hidden="false" customHeight="false" outlineLevel="0" collapsed="false">
      <c r="A55" s="20" t="str">
        <f aca="false">IF(52&lt;=ماشین_حساب_وام!$B$6,52,"")</f>
        <v/>
      </c>
      <c r="B55" s="14" t="str">
        <f aca="false">IF(A55="","",F54)</f>
        <v/>
      </c>
      <c r="C55" s="14" t="str">
        <f aca="false">IF(A55="","",ماشین_حساب_وام!$B$11)</f>
        <v/>
      </c>
      <c r="D55" s="14" t="str">
        <f aca="false">IF(A55="","",B55*ماشین_حساب_وام!$B$10)</f>
        <v/>
      </c>
      <c r="E55" s="14" t="str">
        <f aca="false">IF(A55="","",C55-D55)</f>
        <v/>
      </c>
      <c r="F55" s="14" t="str">
        <f aca="false">IF(A55="","",MAX(B55-E55,0))</f>
        <v/>
      </c>
    </row>
    <row r="56" customFormat="false" ht="15" hidden="false" customHeight="false" outlineLevel="0" collapsed="false">
      <c r="A56" s="20" t="str">
        <f aca="false">IF(53&lt;=ماشین_حساب_وام!$B$6,53,"")</f>
        <v/>
      </c>
      <c r="B56" s="14" t="str">
        <f aca="false">IF(A56="","",F55)</f>
        <v/>
      </c>
      <c r="C56" s="14" t="str">
        <f aca="false">IF(A56="","",ماشین_حساب_وام!$B$11)</f>
        <v/>
      </c>
      <c r="D56" s="14" t="str">
        <f aca="false">IF(A56="","",B56*ماشین_حساب_وام!$B$10)</f>
        <v/>
      </c>
      <c r="E56" s="14" t="str">
        <f aca="false">IF(A56="","",C56-D56)</f>
        <v/>
      </c>
      <c r="F56" s="14" t="str">
        <f aca="false">IF(A56="","",MAX(B56-E56,0))</f>
        <v/>
      </c>
    </row>
    <row r="57" customFormat="false" ht="15" hidden="false" customHeight="false" outlineLevel="0" collapsed="false">
      <c r="A57" s="20" t="str">
        <f aca="false">IF(54&lt;=ماشین_حساب_وام!$B$6,54,"")</f>
        <v/>
      </c>
      <c r="B57" s="14" t="str">
        <f aca="false">IF(A57="","",F56)</f>
        <v/>
      </c>
      <c r="C57" s="14" t="str">
        <f aca="false">IF(A57="","",ماشین_حساب_وام!$B$11)</f>
        <v/>
      </c>
      <c r="D57" s="14" t="str">
        <f aca="false">IF(A57="","",B57*ماشین_حساب_وام!$B$10)</f>
        <v/>
      </c>
      <c r="E57" s="14" t="str">
        <f aca="false">IF(A57="","",C57-D57)</f>
        <v/>
      </c>
      <c r="F57" s="14" t="str">
        <f aca="false">IF(A57="","",MAX(B57-E57,0))</f>
        <v/>
      </c>
    </row>
    <row r="58" customFormat="false" ht="15" hidden="false" customHeight="false" outlineLevel="0" collapsed="false">
      <c r="A58" s="20" t="str">
        <f aca="false">IF(55&lt;=ماشین_حساب_وام!$B$6,55,"")</f>
        <v/>
      </c>
      <c r="B58" s="14" t="str">
        <f aca="false">IF(A58="","",F57)</f>
        <v/>
      </c>
      <c r="C58" s="14" t="str">
        <f aca="false">IF(A58="","",ماشین_حساب_وام!$B$11)</f>
        <v/>
      </c>
      <c r="D58" s="14" t="str">
        <f aca="false">IF(A58="","",B58*ماشین_حساب_وام!$B$10)</f>
        <v/>
      </c>
      <c r="E58" s="14" t="str">
        <f aca="false">IF(A58="","",C58-D58)</f>
        <v/>
      </c>
      <c r="F58" s="14" t="str">
        <f aca="false">IF(A58="","",MAX(B58-E58,0))</f>
        <v/>
      </c>
    </row>
    <row r="59" customFormat="false" ht="15" hidden="false" customHeight="false" outlineLevel="0" collapsed="false">
      <c r="A59" s="20" t="str">
        <f aca="false">IF(56&lt;=ماشین_حساب_وام!$B$6,56,"")</f>
        <v/>
      </c>
      <c r="B59" s="14" t="str">
        <f aca="false">IF(A59="","",F58)</f>
        <v/>
      </c>
      <c r="C59" s="14" t="str">
        <f aca="false">IF(A59="","",ماشین_حساب_وام!$B$11)</f>
        <v/>
      </c>
      <c r="D59" s="14" t="str">
        <f aca="false">IF(A59="","",B59*ماشین_حساب_وام!$B$10)</f>
        <v/>
      </c>
      <c r="E59" s="14" t="str">
        <f aca="false">IF(A59="","",C59-D59)</f>
        <v/>
      </c>
      <c r="F59" s="14" t="str">
        <f aca="false">IF(A59="","",MAX(B59-E59,0))</f>
        <v/>
      </c>
    </row>
    <row r="60" customFormat="false" ht="15" hidden="false" customHeight="false" outlineLevel="0" collapsed="false">
      <c r="A60" s="20" t="str">
        <f aca="false">IF(57&lt;=ماشین_حساب_وام!$B$6,57,"")</f>
        <v/>
      </c>
      <c r="B60" s="14" t="str">
        <f aca="false">IF(A60="","",F59)</f>
        <v/>
      </c>
      <c r="C60" s="14" t="str">
        <f aca="false">IF(A60="","",ماشین_حساب_وام!$B$11)</f>
        <v/>
      </c>
      <c r="D60" s="14" t="str">
        <f aca="false">IF(A60="","",B60*ماشین_حساب_وام!$B$10)</f>
        <v/>
      </c>
      <c r="E60" s="14" t="str">
        <f aca="false">IF(A60="","",C60-D60)</f>
        <v/>
      </c>
      <c r="F60" s="14" t="str">
        <f aca="false">IF(A60="","",MAX(B60-E60,0))</f>
        <v/>
      </c>
    </row>
    <row r="61" customFormat="false" ht="15" hidden="false" customHeight="false" outlineLevel="0" collapsed="false">
      <c r="A61" s="20" t="str">
        <f aca="false">IF(58&lt;=ماشین_حساب_وام!$B$6,58,"")</f>
        <v/>
      </c>
      <c r="B61" s="14" t="str">
        <f aca="false">IF(A61="","",F60)</f>
        <v/>
      </c>
      <c r="C61" s="14" t="str">
        <f aca="false">IF(A61="","",ماشین_حساب_وام!$B$11)</f>
        <v/>
      </c>
      <c r="D61" s="14" t="str">
        <f aca="false">IF(A61="","",B61*ماشین_حساب_وام!$B$10)</f>
        <v/>
      </c>
      <c r="E61" s="14" t="str">
        <f aca="false">IF(A61="","",C61-D61)</f>
        <v/>
      </c>
      <c r="F61" s="14" t="str">
        <f aca="false">IF(A61="","",MAX(B61-E61,0))</f>
        <v/>
      </c>
    </row>
    <row r="62" customFormat="false" ht="15" hidden="false" customHeight="false" outlineLevel="0" collapsed="false">
      <c r="A62" s="20" t="str">
        <f aca="false">IF(59&lt;=ماشین_حساب_وام!$B$6,59,"")</f>
        <v/>
      </c>
      <c r="B62" s="14" t="str">
        <f aca="false">IF(A62="","",F61)</f>
        <v/>
      </c>
      <c r="C62" s="14" t="str">
        <f aca="false">IF(A62="","",ماشین_حساب_وام!$B$11)</f>
        <v/>
      </c>
      <c r="D62" s="14" t="str">
        <f aca="false">IF(A62="","",B62*ماشین_حساب_وام!$B$10)</f>
        <v/>
      </c>
      <c r="E62" s="14" t="str">
        <f aca="false">IF(A62="","",C62-D62)</f>
        <v/>
      </c>
      <c r="F62" s="14" t="str">
        <f aca="false">IF(A62="","",MAX(B62-E62,0))</f>
        <v/>
      </c>
    </row>
    <row r="63" customFormat="false" ht="15" hidden="false" customHeight="false" outlineLevel="0" collapsed="false">
      <c r="A63" s="20" t="str">
        <f aca="false">IF(60&lt;=ماشین_حساب_وام!$B$6,60,"")</f>
        <v/>
      </c>
      <c r="B63" s="14" t="str">
        <f aca="false">IF(A63="","",F62)</f>
        <v/>
      </c>
      <c r="C63" s="14" t="str">
        <f aca="false">IF(A63="","",ماشین_حساب_وام!$B$11)</f>
        <v/>
      </c>
      <c r="D63" s="14" t="str">
        <f aca="false">IF(A63="","",B63*ماشین_حساب_وام!$B$10)</f>
        <v/>
      </c>
      <c r="E63" s="14" t="str">
        <f aca="false">IF(A63="","",C63-D63)</f>
        <v/>
      </c>
      <c r="F63" s="14" t="str">
        <f aca="false">IF(A63="","",MAX(B63-E63,0))</f>
        <v/>
      </c>
    </row>
    <row r="64" customFormat="false" ht="15" hidden="false" customHeight="false" outlineLevel="0" collapsed="false">
      <c r="A64" s="20" t="str">
        <f aca="false">IF(61&lt;=ماشین_حساب_وام!$B$6,61,"")</f>
        <v/>
      </c>
      <c r="B64" s="14" t="str">
        <f aca="false">IF(A64="","",F63)</f>
        <v/>
      </c>
      <c r="C64" s="14" t="str">
        <f aca="false">IF(A64="","",ماشین_حساب_وام!$B$11)</f>
        <v/>
      </c>
      <c r="D64" s="14" t="str">
        <f aca="false">IF(A64="","",B64*ماشین_حساب_وام!$B$10)</f>
        <v/>
      </c>
      <c r="E64" s="14" t="str">
        <f aca="false">IF(A64="","",C64-D64)</f>
        <v/>
      </c>
      <c r="F64" s="14" t="str">
        <f aca="false">IF(A64="","",MAX(B64-E64,0))</f>
        <v/>
      </c>
    </row>
    <row r="65" customFormat="false" ht="15" hidden="false" customHeight="false" outlineLevel="0" collapsed="false">
      <c r="A65" s="20" t="str">
        <f aca="false">IF(62&lt;=ماشین_حساب_وام!$B$6,62,"")</f>
        <v/>
      </c>
      <c r="B65" s="14" t="str">
        <f aca="false">IF(A65="","",F64)</f>
        <v/>
      </c>
      <c r="C65" s="14" t="str">
        <f aca="false">IF(A65="","",ماشین_حساب_وام!$B$11)</f>
        <v/>
      </c>
      <c r="D65" s="14" t="str">
        <f aca="false">IF(A65="","",B65*ماشین_حساب_وام!$B$10)</f>
        <v/>
      </c>
      <c r="E65" s="14" t="str">
        <f aca="false">IF(A65="","",C65-D65)</f>
        <v/>
      </c>
      <c r="F65" s="14" t="str">
        <f aca="false">IF(A65="","",MAX(B65-E65,0))</f>
        <v/>
      </c>
    </row>
    <row r="66" customFormat="false" ht="15" hidden="false" customHeight="false" outlineLevel="0" collapsed="false">
      <c r="A66" s="20" t="str">
        <f aca="false">IF(63&lt;=ماشین_حساب_وام!$B$6,63,"")</f>
        <v/>
      </c>
      <c r="B66" s="14" t="str">
        <f aca="false">IF(A66="","",F65)</f>
        <v/>
      </c>
      <c r="C66" s="14" t="str">
        <f aca="false">IF(A66="","",ماشین_حساب_وام!$B$11)</f>
        <v/>
      </c>
      <c r="D66" s="14" t="str">
        <f aca="false">IF(A66="","",B66*ماشین_حساب_وام!$B$10)</f>
        <v/>
      </c>
      <c r="E66" s="14" t="str">
        <f aca="false">IF(A66="","",C66-D66)</f>
        <v/>
      </c>
      <c r="F66" s="14" t="str">
        <f aca="false">IF(A66="","",MAX(B66-E66,0))</f>
        <v/>
      </c>
    </row>
    <row r="67" customFormat="false" ht="15" hidden="false" customHeight="false" outlineLevel="0" collapsed="false">
      <c r="A67" s="20" t="str">
        <f aca="false">IF(64&lt;=ماشین_حساب_وام!$B$6,64,"")</f>
        <v/>
      </c>
      <c r="B67" s="14" t="str">
        <f aca="false">IF(A67="","",F66)</f>
        <v/>
      </c>
      <c r="C67" s="14" t="str">
        <f aca="false">IF(A67="","",ماشین_حساب_وام!$B$11)</f>
        <v/>
      </c>
      <c r="D67" s="14" t="str">
        <f aca="false">IF(A67="","",B67*ماشین_حساب_وام!$B$10)</f>
        <v/>
      </c>
      <c r="E67" s="14" t="str">
        <f aca="false">IF(A67="","",C67-D67)</f>
        <v/>
      </c>
      <c r="F67" s="14" t="str">
        <f aca="false">IF(A67="","",MAX(B67-E67,0))</f>
        <v/>
      </c>
    </row>
    <row r="68" customFormat="false" ht="15" hidden="false" customHeight="false" outlineLevel="0" collapsed="false">
      <c r="A68" s="20" t="str">
        <f aca="false">IF(65&lt;=ماشین_حساب_وام!$B$6,65,"")</f>
        <v/>
      </c>
      <c r="B68" s="14" t="str">
        <f aca="false">IF(A68="","",F67)</f>
        <v/>
      </c>
      <c r="C68" s="14" t="str">
        <f aca="false">IF(A68="","",ماشین_حساب_وام!$B$11)</f>
        <v/>
      </c>
      <c r="D68" s="14" t="str">
        <f aca="false">IF(A68="","",B68*ماشین_حساب_وام!$B$10)</f>
        <v/>
      </c>
      <c r="E68" s="14" t="str">
        <f aca="false">IF(A68="","",C68-D68)</f>
        <v/>
      </c>
      <c r="F68" s="14" t="str">
        <f aca="false">IF(A68="","",MAX(B68-E68,0))</f>
        <v/>
      </c>
    </row>
    <row r="69" customFormat="false" ht="15" hidden="false" customHeight="false" outlineLevel="0" collapsed="false">
      <c r="A69" s="20" t="str">
        <f aca="false">IF(66&lt;=ماشین_حساب_وام!$B$6,66,"")</f>
        <v/>
      </c>
      <c r="B69" s="14" t="str">
        <f aca="false">IF(A69="","",F68)</f>
        <v/>
      </c>
      <c r="C69" s="14" t="str">
        <f aca="false">IF(A69="","",ماشین_حساب_وام!$B$11)</f>
        <v/>
      </c>
      <c r="D69" s="14" t="str">
        <f aca="false">IF(A69="","",B69*ماشین_حساب_وام!$B$10)</f>
        <v/>
      </c>
      <c r="E69" s="14" t="str">
        <f aca="false">IF(A69="","",C69-D69)</f>
        <v/>
      </c>
      <c r="F69" s="14" t="str">
        <f aca="false">IF(A69="","",MAX(B69-E69,0))</f>
        <v/>
      </c>
    </row>
    <row r="70" customFormat="false" ht="15" hidden="false" customHeight="false" outlineLevel="0" collapsed="false">
      <c r="A70" s="20" t="str">
        <f aca="false">IF(67&lt;=ماشین_حساب_وام!$B$6,67,"")</f>
        <v/>
      </c>
      <c r="B70" s="14" t="str">
        <f aca="false">IF(A70="","",F69)</f>
        <v/>
      </c>
      <c r="C70" s="14" t="str">
        <f aca="false">IF(A70="","",ماشین_حساب_وام!$B$11)</f>
        <v/>
      </c>
      <c r="D70" s="14" t="str">
        <f aca="false">IF(A70="","",B70*ماشین_حساب_وام!$B$10)</f>
        <v/>
      </c>
      <c r="E70" s="14" t="str">
        <f aca="false">IF(A70="","",C70-D70)</f>
        <v/>
      </c>
      <c r="F70" s="14" t="str">
        <f aca="false">IF(A70="","",MAX(B70-E70,0))</f>
        <v/>
      </c>
    </row>
    <row r="71" customFormat="false" ht="15" hidden="false" customHeight="false" outlineLevel="0" collapsed="false">
      <c r="A71" s="20" t="str">
        <f aca="false">IF(68&lt;=ماشین_حساب_وام!$B$6,68,"")</f>
        <v/>
      </c>
      <c r="B71" s="14" t="str">
        <f aca="false">IF(A71="","",F70)</f>
        <v/>
      </c>
      <c r="C71" s="14" t="str">
        <f aca="false">IF(A71="","",ماشین_حساب_وام!$B$11)</f>
        <v/>
      </c>
      <c r="D71" s="14" t="str">
        <f aca="false">IF(A71="","",B71*ماشین_حساب_وام!$B$10)</f>
        <v/>
      </c>
      <c r="E71" s="14" t="str">
        <f aca="false">IF(A71="","",C71-D71)</f>
        <v/>
      </c>
      <c r="F71" s="14" t="str">
        <f aca="false">IF(A71="","",MAX(B71-E71,0))</f>
        <v/>
      </c>
    </row>
    <row r="72" customFormat="false" ht="15" hidden="false" customHeight="false" outlineLevel="0" collapsed="false">
      <c r="A72" s="20" t="str">
        <f aca="false">IF(69&lt;=ماشین_حساب_وام!$B$6,69,"")</f>
        <v/>
      </c>
      <c r="B72" s="14" t="str">
        <f aca="false">IF(A72="","",F71)</f>
        <v/>
      </c>
      <c r="C72" s="14" t="str">
        <f aca="false">IF(A72="","",ماشین_حساب_وام!$B$11)</f>
        <v/>
      </c>
      <c r="D72" s="14" t="str">
        <f aca="false">IF(A72="","",B72*ماشین_حساب_وام!$B$10)</f>
        <v/>
      </c>
      <c r="E72" s="14" t="str">
        <f aca="false">IF(A72="","",C72-D72)</f>
        <v/>
      </c>
      <c r="F72" s="14" t="str">
        <f aca="false">IF(A72="","",MAX(B72-E72,0))</f>
        <v/>
      </c>
    </row>
    <row r="73" customFormat="false" ht="15" hidden="false" customHeight="false" outlineLevel="0" collapsed="false">
      <c r="A73" s="20" t="str">
        <f aca="false">IF(70&lt;=ماشین_حساب_وام!$B$6,70,"")</f>
        <v/>
      </c>
      <c r="B73" s="14" t="str">
        <f aca="false">IF(A73="","",F72)</f>
        <v/>
      </c>
      <c r="C73" s="14" t="str">
        <f aca="false">IF(A73="","",ماشین_حساب_وام!$B$11)</f>
        <v/>
      </c>
      <c r="D73" s="14" t="str">
        <f aca="false">IF(A73="","",B73*ماشین_حساب_وام!$B$10)</f>
        <v/>
      </c>
      <c r="E73" s="14" t="str">
        <f aca="false">IF(A73="","",C73-D73)</f>
        <v/>
      </c>
      <c r="F73" s="14" t="str">
        <f aca="false">IF(A73="","",MAX(B73-E73,0))</f>
        <v/>
      </c>
    </row>
    <row r="74" customFormat="false" ht="15" hidden="false" customHeight="false" outlineLevel="0" collapsed="false">
      <c r="A74" s="20" t="str">
        <f aca="false">IF(71&lt;=ماشین_حساب_وام!$B$6,71,"")</f>
        <v/>
      </c>
      <c r="B74" s="14" t="str">
        <f aca="false">IF(A74="","",F73)</f>
        <v/>
      </c>
      <c r="C74" s="14" t="str">
        <f aca="false">IF(A74="","",ماشین_حساب_وام!$B$11)</f>
        <v/>
      </c>
      <c r="D74" s="14" t="str">
        <f aca="false">IF(A74="","",B74*ماشین_حساب_وام!$B$10)</f>
        <v/>
      </c>
      <c r="E74" s="14" t="str">
        <f aca="false">IF(A74="","",C74-D74)</f>
        <v/>
      </c>
      <c r="F74" s="14" t="str">
        <f aca="false">IF(A74="","",MAX(B74-E74,0))</f>
        <v/>
      </c>
    </row>
    <row r="75" customFormat="false" ht="15" hidden="false" customHeight="false" outlineLevel="0" collapsed="false">
      <c r="A75" s="20" t="str">
        <f aca="false">IF(72&lt;=ماشین_حساب_وام!$B$6,72,"")</f>
        <v/>
      </c>
      <c r="B75" s="14" t="str">
        <f aca="false">IF(A75="","",F74)</f>
        <v/>
      </c>
      <c r="C75" s="14" t="str">
        <f aca="false">IF(A75="","",ماشین_حساب_وام!$B$11)</f>
        <v/>
      </c>
      <c r="D75" s="14" t="str">
        <f aca="false">IF(A75="","",B75*ماشین_حساب_وام!$B$10)</f>
        <v/>
      </c>
      <c r="E75" s="14" t="str">
        <f aca="false">IF(A75="","",C75-D75)</f>
        <v/>
      </c>
      <c r="F75" s="14" t="str">
        <f aca="false">IF(A75="","",MAX(B75-E75,0))</f>
        <v/>
      </c>
    </row>
    <row r="76" customFormat="false" ht="15" hidden="false" customHeight="false" outlineLevel="0" collapsed="false">
      <c r="A76" s="20" t="str">
        <f aca="false">IF(73&lt;=ماشین_حساب_وام!$B$6,73,"")</f>
        <v/>
      </c>
      <c r="B76" s="14" t="str">
        <f aca="false">IF(A76="","",F75)</f>
        <v/>
      </c>
      <c r="C76" s="14" t="str">
        <f aca="false">IF(A76="","",ماشین_حساب_وام!$B$11)</f>
        <v/>
      </c>
      <c r="D76" s="14" t="str">
        <f aca="false">IF(A76="","",B76*ماشین_حساب_وام!$B$10)</f>
        <v/>
      </c>
      <c r="E76" s="14" t="str">
        <f aca="false">IF(A76="","",C76-D76)</f>
        <v/>
      </c>
      <c r="F76" s="14" t="str">
        <f aca="false">IF(A76="","",MAX(B76-E76,0))</f>
        <v/>
      </c>
    </row>
    <row r="77" customFormat="false" ht="15" hidden="false" customHeight="false" outlineLevel="0" collapsed="false">
      <c r="A77" s="20" t="str">
        <f aca="false">IF(74&lt;=ماشین_حساب_وام!$B$6,74,"")</f>
        <v/>
      </c>
      <c r="B77" s="14" t="str">
        <f aca="false">IF(A77="","",F76)</f>
        <v/>
      </c>
      <c r="C77" s="14" t="str">
        <f aca="false">IF(A77="","",ماشین_حساب_وام!$B$11)</f>
        <v/>
      </c>
      <c r="D77" s="14" t="str">
        <f aca="false">IF(A77="","",B77*ماشین_حساب_وام!$B$10)</f>
        <v/>
      </c>
      <c r="E77" s="14" t="str">
        <f aca="false">IF(A77="","",C77-D77)</f>
        <v/>
      </c>
      <c r="F77" s="14" t="str">
        <f aca="false">IF(A77="","",MAX(B77-E77,0))</f>
        <v/>
      </c>
    </row>
    <row r="78" customFormat="false" ht="15" hidden="false" customHeight="false" outlineLevel="0" collapsed="false">
      <c r="A78" s="20" t="str">
        <f aca="false">IF(75&lt;=ماشین_حساب_وام!$B$6,75,"")</f>
        <v/>
      </c>
      <c r="B78" s="14" t="str">
        <f aca="false">IF(A78="","",F77)</f>
        <v/>
      </c>
      <c r="C78" s="14" t="str">
        <f aca="false">IF(A78="","",ماشین_حساب_وام!$B$11)</f>
        <v/>
      </c>
      <c r="D78" s="14" t="str">
        <f aca="false">IF(A78="","",B78*ماشین_حساب_وام!$B$10)</f>
        <v/>
      </c>
      <c r="E78" s="14" t="str">
        <f aca="false">IF(A78="","",C78-D78)</f>
        <v/>
      </c>
      <c r="F78" s="14" t="str">
        <f aca="false">IF(A78="","",MAX(B78-E78,0))</f>
        <v/>
      </c>
    </row>
    <row r="79" customFormat="false" ht="15" hidden="false" customHeight="false" outlineLevel="0" collapsed="false">
      <c r="A79" s="20" t="str">
        <f aca="false">IF(76&lt;=ماشین_حساب_وام!$B$6,76,"")</f>
        <v/>
      </c>
      <c r="B79" s="14" t="str">
        <f aca="false">IF(A79="","",F78)</f>
        <v/>
      </c>
      <c r="C79" s="14" t="str">
        <f aca="false">IF(A79="","",ماشین_حساب_وام!$B$11)</f>
        <v/>
      </c>
      <c r="D79" s="14" t="str">
        <f aca="false">IF(A79="","",B79*ماشین_حساب_وام!$B$10)</f>
        <v/>
      </c>
      <c r="E79" s="14" t="str">
        <f aca="false">IF(A79="","",C79-D79)</f>
        <v/>
      </c>
      <c r="F79" s="14" t="str">
        <f aca="false">IF(A79="","",MAX(B79-E79,0))</f>
        <v/>
      </c>
    </row>
    <row r="80" customFormat="false" ht="15" hidden="false" customHeight="false" outlineLevel="0" collapsed="false">
      <c r="A80" s="20" t="str">
        <f aca="false">IF(77&lt;=ماشین_حساب_وام!$B$6,77,"")</f>
        <v/>
      </c>
      <c r="B80" s="14" t="str">
        <f aca="false">IF(A80="","",F79)</f>
        <v/>
      </c>
      <c r="C80" s="14" t="str">
        <f aca="false">IF(A80="","",ماشین_حساب_وام!$B$11)</f>
        <v/>
      </c>
      <c r="D80" s="14" t="str">
        <f aca="false">IF(A80="","",B80*ماشین_حساب_وام!$B$10)</f>
        <v/>
      </c>
      <c r="E80" s="14" t="str">
        <f aca="false">IF(A80="","",C80-D80)</f>
        <v/>
      </c>
      <c r="F80" s="14" t="str">
        <f aca="false">IF(A80="","",MAX(B80-E80,0))</f>
        <v/>
      </c>
    </row>
    <row r="81" customFormat="false" ht="15" hidden="false" customHeight="false" outlineLevel="0" collapsed="false">
      <c r="A81" s="20" t="str">
        <f aca="false">IF(78&lt;=ماشین_حساب_وام!$B$6,78,"")</f>
        <v/>
      </c>
      <c r="B81" s="14" t="str">
        <f aca="false">IF(A81="","",F80)</f>
        <v/>
      </c>
      <c r="C81" s="14" t="str">
        <f aca="false">IF(A81="","",ماشین_حساب_وام!$B$11)</f>
        <v/>
      </c>
      <c r="D81" s="14" t="str">
        <f aca="false">IF(A81="","",B81*ماشین_حساب_وام!$B$10)</f>
        <v/>
      </c>
      <c r="E81" s="14" t="str">
        <f aca="false">IF(A81="","",C81-D81)</f>
        <v/>
      </c>
      <c r="F81" s="14" t="str">
        <f aca="false">IF(A81="","",MAX(B81-E81,0))</f>
        <v/>
      </c>
    </row>
    <row r="82" customFormat="false" ht="15" hidden="false" customHeight="false" outlineLevel="0" collapsed="false">
      <c r="A82" s="20" t="str">
        <f aca="false">IF(79&lt;=ماشین_حساب_وام!$B$6,79,"")</f>
        <v/>
      </c>
      <c r="B82" s="14" t="str">
        <f aca="false">IF(A82="","",F81)</f>
        <v/>
      </c>
      <c r="C82" s="14" t="str">
        <f aca="false">IF(A82="","",ماشین_حساب_وام!$B$11)</f>
        <v/>
      </c>
      <c r="D82" s="14" t="str">
        <f aca="false">IF(A82="","",B82*ماشین_حساب_وام!$B$10)</f>
        <v/>
      </c>
      <c r="E82" s="14" t="str">
        <f aca="false">IF(A82="","",C82-D82)</f>
        <v/>
      </c>
      <c r="F82" s="14" t="str">
        <f aca="false">IF(A82="","",MAX(B82-E82,0))</f>
        <v/>
      </c>
    </row>
    <row r="83" customFormat="false" ht="15" hidden="false" customHeight="false" outlineLevel="0" collapsed="false">
      <c r="A83" s="20" t="str">
        <f aca="false">IF(80&lt;=ماشین_حساب_وام!$B$6,80,"")</f>
        <v/>
      </c>
      <c r="B83" s="14" t="str">
        <f aca="false">IF(A83="","",F82)</f>
        <v/>
      </c>
      <c r="C83" s="14" t="str">
        <f aca="false">IF(A83="","",ماشین_حساب_وام!$B$11)</f>
        <v/>
      </c>
      <c r="D83" s="14" t="str">
        <f aca="false">IF(A83="","",B83*ماشین_حساب_وام!$B$10)</f>
        <v/>
      </c>
      <c r="E83" s="14" t="str">
        <f aca="false">IF(A83="","",C83-D83)</f>
        <v/>
      </c>
      <c r="F83" s="14" t="str">
        <f aca="false">IF(A83="","",MAX(B83-E83,0))</f>
        <v/>
      </c>
    </row>
    <row r="84" customFormat="false" ht="15" hidden="false" customHeight="false" outlineLevel="0" collapsed="false">
      <c r="A84" s="20" t="str">
        <f aca="false">IF(81&lt;=ماشین_حساب_وام!$B$6,81,"")</f>
        <v/>
      </c>
      <c r="B84" s="14" t="str">
        <f aca="false">IF(A84="","",F83)</f>
        <v/>
      </c>
      <c r="C84" s="14" t="str">
        <f aca="false">IF(A84="","",ماشین_حساب_وام!$B$11)</f>
        <v/>
      </c>
      <c r="D84" s="14" t="str">
        <f aca="false">IF(A84="","",B84*ماشین_حساب_وام!$B$10)</f>
        <v/>
      </c>
      <c r="E84" s="14" t="str">
        <f aca="false">IF(A84="","",C84-D84)</f>
        <v/>
      </c>
      <c r="F84" s="14" t="str">
        <f aca="false">IF(A84="","",MAX(B84-E84,0))</f>
        <v/>
      </c>
    </row>
    <row r="85" customFormat="false" ht="15" hidden="false" customHeight="false" outlineLevel="0" collapsed="false">
      <c r="A85" s="20" t="str">
        <f aca="false">IF(82&lt;=ماشین_حساب_وام!$B$6,82,"")</f>
        <v/>
      </c>
      <c r="B85" s="14" t="str">
        <f aca="false">IF(A85="","",F84)</f>
        <v/>
      </c>
      <c r="C85" s="14" t="str">
        <f aca="false">IF(A85="","",ماشین_حساب_وام!$B$11)</f>
        <v/>
      </c>
      <c r="D85" s="14" t="str">
        <f aca="false">IF(A85="","",B85*ماشین_حساب_وام!$B$10)</f>
        <v/>
      </c>
      <c r="E85" s="14" t="str">
        <f aca="false">IF(A85="","",C85-D85)</f>
        <v/>
      </c>
      <c r="F85" s="14" t="str">
        <f aca="false">IF(A85="","",MAX(B85-E85,0))</f>
        <v/>
      </c>
    </row>
    <row r="86" customFormat="false" ht="15" hidden="false" customHeight="false" outlineLevel="0" collapsed="false">
      <c r="A86" s="20" t="str">
        <f aca="false">IF(83&lt;=ماشین_حساب_وام!$B$6,83,"")</f>
        <v/>
      </c>
      <c r="B86" s="14" t="str">
        <f aca="false">IF(A86="","",F85)</f>
        <v/>
      </c>
      <c r="C86" s="14" t="str">
        <f aca="false">IF(A86="","",ماشین_حساب_وام!$B$11)</f>
        <v/>
      </c>
      <c r="D86" s="14" t="str">
        <f aca="false">IF(A86="","",B86*ماشین_حساب_وام!$B$10)</f>
        <v/>
      </c>
      <c r="E86" s="14" t="str">
        <f aca="false">IF(A86="","",C86-D86)</f>
        <v/>
      </c>
      <c r="F86" s="14" t="str">
        <f aca="false">IF(A86="","",MAX(B86-E86,0))</f>
        <v/>
      </c>
    </row>
    <row r="87" customFormat="false" ht="15" hidden="false" customHeight="false" outlineLevel="0" collapsed="false">
      <c r="A87" s="20" t="str">
        <f aca="false">IF(84&lt;=ماشین_حساب_وام!$B$6,84,"")</f>
        <v/>
      </c>
      <c r="B87" s="14" t="str">
        <f aca="false">IF(A87="","",F86)</f>
        <v/>
      </c>
      <c r="C87" s="14" t="str">
        <f aca="false">IF(A87="","",ماشین_حساب_وام!$B$11)</f>
        <v/>
      </c>
      <c r="D87" s="14" t="str">
        <f aca="false">IF(A87="","",B87*ماشین_حساب_وام!$B$10)</f>
        <v/>
      </c>
      <c r="E87" s="14" t="str">
        <f aca="false">IF(A87="","",C87-D87)</f>
        <v/>
      </c>
      <c r="F87" s="14" t="str">
        <f aca="false">IF(A87="","",MAX(B87-E87,0))</f>
        <v/>
      </c>
    </row>
    <row r="88" customFormat="false" ht="15" hidden="false" customHeight="false" outlineLevel="0" collapsed="false">
      <c r="A88" s="20" t="str">
        <f aca="false">IF(85&lt;=ماشین_حساب_وام!$B$6,85,"")</f>
        <v/>
      </c>
      <c r="B88" s="14" t="str">
        <f aca="false">IF(A88="","",F87)</f>
        <v/>
      </c>
      <c r="C88" s="14" t="str">
        <f aca="false">IF(A88="","",ماشین_حساب_وام!$B$11)</f>
        <v/>
      </c>
      <c r="D88" s="14" t="str">
        <f aca="false">IF(A88="","",B88*ماشین_حساب_وام!$B$10)</f>
        <v/>
      </c>
      <c r="E88" s="14" t="str">
        <f aca="false">IF(A88="","",C88-D88)</f>
        <v/>
      </c>
      <c r="F88" s="14" t="str">
        <f aca="false">IF(A88="","",MAX(B88-E88,0))</f>
        <v/>
      </c>
    </row>
    <row r="89" customFormat="false" ht="15" hidden="false" customHeight="false" outlineLevel="0" collapsed="false">
      <c r="A89" s="20" t="str">
        <f aca="false">IF(86&lt;=ماشین_حساب_وام!$B$6,86,"")</f>
        <v/>
      </c>
      <c r="B89" s="14" t="str">
        <f aca="false">IF(A89="","",F88)</f>
        <v/>
      </c>
      <c r="C89" s="14" t="str">
        <f aca="false">IF(A89="","",ماشین_حساب_وام!$B$11)</f>
        <v/>
      </c>
      <c r="D89" s="14" t="str">
        <f aca="false">IF(A89="","",B89*ماشین_حساب_وام!$B$10)</f>
        <v/>
      </c>
      <c r="E89" s="14" t="str">
        <f aca="false">IF(A89="","",C89-D89)</f>
        <v/>
      </c>
      <c r="F89" s="14" t="str">
        <f aca="false">IF(A89="","",MAX(B89-E89,0))</f>
        <v/>
      </c>
    </row>
    <row r="90" customFormat="false" ht="15" hidden="false" customHeight="false" outlineLevel="0" collapsed="false">
      <c r="A90" s="20" t="str">
        <f aca="false">IF(87&lt;=ماشین_حساب_وام!$B$6,87,"")</f>
        <v/>
      </c>
      <c r="B90" s="14" t="str">
        <f aca="false">IF(A90="","",F89)</f>
        <v/>
      </c>
      <c r="C90" s="14" t="str">
        <f aca="false">IF(A90="","",ماشین_حساب_وام!$B$11)</f>
        <v/>
      </c>
      <c r="D90" s="14" t="str">
        <f aca="false">IF(A90="","",B90*ماشین_حساب_وام!$B$10)</f>
        <v/>
      </c>
      <c r="E90" s="14" t="str">
        <f aca="false">IF(A90="","",C90-D90)</f>
        <v/>
      </c>
      <c r="F90" s="14" t="str">
        <f aca="false">IF(A90="","",MAX(B90-E90,0))</f>
        <v/>
      </c>
    </row>
    <row r="91" customFormat="false" ht="15" hidden="false" customHeight="false" outlineLevel="0" collapsed="false">
      <c r="A91" s="20" t="str">
        <f aca="false">IF(88&lt;=ماشین_حساب_وام!$B$6,88,"")</f>
        <v/>
      </c>
      <c r="B91" s="14" t="str">
        <f aca="false">IF(A91="","",F90)</f>
        <v/>
      </c>
      <c r="C91" s="14" t="str">
        <f aca="false">IF(A91="","",ماشین_حساب_وام!$B$11)</f>
        <v/>
      </c>
      <c r="D91" s="14" t="str">
        <f aca="false">IF(A91="","",B91*ماشین_حساب_وام!$B$10)</f>
        <v/>
      </c>
      <c r="E91" s="14" t="str">
        <f aca="false">IF(A91="","",C91-D91)</f>
        <v/>
      </c>
      <c r="F91" s="14" t="str">
        <f aca="false">IF(A91="","",MAX(B91-E91,0))</f>
        <v/>
      </c>
    </row>
    <row r="92" customFormat="false" ht="15" hidden="false" customHeight="false" outlineLevel="0" collapsed="false">
      <c r="A92" s="20" t="str">
        <f aca="false">IF(89&lt;=ماشین_حساب_وام!$B$6,89,"")</f>
        <v/>
      </c>
      <c r="B92" s="14" t="str">
        <f aca="false">IF(A92="","",F91)</f>
        <v/>
      </c>
      <c r="C92" s="14" t="str">
        <f aca="false">IF(A92="","",ماشین_حساب_وام!$B$11)</f>
        <v/>
      </c>
      <c r="D92" s="14" t="str">
        <f aca="false">IF(A92="","",B92*ماشین_حساب_وام!$B$10)</f>
        <v/>
      </c>
      <c r="E92" s="14" t="str">
        <f aca="false">IF(A92="","",C92-D92)</f>
        <v/>
      </c>
      <c r="F92" s="14" t="str">
        <f aca="false">IF(A92="","",MAX(B92-E92,0))</f>
        <v/>
      </c>
    </row>
    <row r="93" customFormat="false" ht="15" hidden="false" customHeight="false" outlineLevel="0" collapsed="false">
      <c r="A93" s="20" t="str">
        <f aca="false">IF(90&lt;=ماشین_حساب_وام!$B$6,90,"")</f>
        <v/>
      </c>
      <c r="B93" s="14" t="str">
        <f aca="false">IF(A93="","",F92)</f>
        <v/>
      </c>
      <c r="C93" s="14" t="str">
        <f aca="false">IF(A93="","",ماشین_حساب_وام!$B$11)</f>
        <v/>
      </c>
      <c r="D93" s="14" t="str">
        <f aca="false">IF(A93="","",B93*ماشین_حساب_وام!$B$10)</f>
        <v/>
      </c>
      <c r="E93" s="14" t="str">
        <f aca="false">IF(A93="","",C93-D93)</f>
        <v/>
      </c>
      <c r="F93" s="14" t="str">
        <f aca="false">IF(A93="","",MAX(B93-E93,0))</f>
        <v/>
      </c>
    </row>
    <row r="94" customFormat="false" ht="15" hidden="false" customHeight="false" outlineLevel="0" collapsed="false">
      <c r="A94" s="20" t="str">
        <f aca="false">IF(91&lt;=ماشین_حساب_وام!$B$6,91,"")</f>
        <v/>
      </c>
      <c r="B94" s="14" t="str">
        <f aca="false">IF(A94="","",F93)</f>
        <v/>
      </c>
      <c r="C94" s="14" t="str">
        <f aca="false">IF(A94="","",ماشین_حساب_وام!$B$11)</f>
        <v/>
      </c>
      <c r="D94" s="14" t="str">
        <f aca="false">IF(A94="","",B94*ماشین_حساب_وام!$B$10)</f>
        <v/>
      </c>
      <c r="E94" s="14" t="str">
        <f aca="false">IF(A94="","",C94-D94)</f>
        <v/>
      </c>
      <c r="F94" s="14" t="str">
        <f aca="false">IF(A94="","",MAX(B94-E94,0))</f>
        <v/>
      </c>
    </row>
    <row r="95" customFormat="false" ht="15" hidden="false" customHeight="false" outlineLevel="0" collapsed="false">
      <c r="A95" s="20" t="str">
        <f aca="false">IF(92&lt;=ماشین_حساب_وام!$B$6,92,"")</f>
        <v/>
      </c>
      <c r="B95" s="14" t="str">
        <f aca="false">IF(A95="","",F94)</f>
        <v/>
      </c>
      <c r="C95" s="14" t="str">
        <f aca="false">IF(A95="","",ماشین_حساب_وام!$B$11)</f>
        <v/>
      </c>
      <c r="D95" s="14" t="str">
        <f aca="false">IF(A95="","",B95*ماشین_حساب_وام!$B$10)</f>
        <v/>
      </c>
      <c r="E95" s="14" t="str">
        <f aca="false">IF(A95="","",C95-D95)</f>
        <v/>
      </c>
      <c r="F95" s="14" t="str">
        <f aca="false">IF(A95="","",MAX(B95-E95,0))</f>
        <v/>
      </c>
    </row>
    <row r="96" customFormat="false" ht="15" hidden="false" customHeight="false" outlineLevel="0" collapsed="false">
      <c r="A96" s="20" t="str">
        <f aca="false">IF(93&lt;=ماشین_حساب_وام!$B$6,93,"")</f>
        <v/>
      </c>
      <c r="B96" s="14" t="str">
        <f aca="false">IF(A96="","",F95)</f>
        <v/>
      </c>
      <c r="C96" s="14" t="str">
        <f aca="false">IF(A96="","",ماشین_حساب_وام!$B$11)</f>
        <v/>
      </c>
      <c r="D96" s="14" t="str">
        <f aca="false">IF(A96="","",B96*ماشین_حساب_وام!$B$10)</f>
        <v/>
      </c>
      <c r="E96" s="14" t="str">
        <f aca="false">IF(A96="","",C96-D96)</f>
        <v/>
      </c>
      <c r="F96" s="14" t="str">
        <f aca="false">IF(A96="","",MAX(B96-E96,0))</f>
        <v/>
      </c>
    </row>
    <row r="97" customFormat="false" ht="15" hidden="false" customHeight="false" outlineLevel="0" collapsed="false">
      <c r="A97" s="20" t="str">
        <f aca="false">IF(94&lt;=ماشین_حساب_وام!$B$6,94,"")</f>
        <v/>
      </c>
      <c r="B97" s="14" t="str">
        <f aca="false">IF(A97="","",F96)</f>
        <v/>
      </c>
      <c r="C97" s="14" t="str">
        <f aca="false">IF(A97="","",ماشین_حساب_وام!$B$11)</f>
        <v/>
      </c>
      <c r="D97" s="14" t="str">
        <f aca="false">IF(A97="","",B97*ماشین_حساب_وام!$B$10)</f>
        <v/>
      </c>
      <c r="E97" s="14" t="str">
        <f aca="false">IF(A97="","",C97-D97)</f>
        <v/>
      </c>
      <c r="F97" s="14" t="str">
        <f aca="false">IF(A97="","",MAX(B97-E97,0))</f>
        <v/>
      </c>
    </row>
    <row r="98" customFormat="false" ht="15" hidden="false" customHeight="false" outlineLevel="0" collapsed="false">
      <c r="A98" s="20" t="str">
        <f aca="false">IF(95&lt;=ماشین_حساب_وام!$B$6,95,"")</f>
        <v/>
      </c>
      <c r="B98" s="14" t="str">
        <f aca="false">IF(A98="","",F97)</f>
        <v/>
      </c>
      <c r="C98" s="14" t="str">
        <f aca="false">IF(A98="","",ماشین_حساب_وام!$B$11)</f>
        <v/>
      </c>
      <c r="D98" s="14" t="str">
        <f aca="false">IF(A98="","",B98*ماشین_حساب_وام!$B$10)</f>
        <v/>
      </c>
      <c r="E98" s="14" t="str">
        <f aca="false">IF(A98="","",C98-D98)</f>
        <v/>
      </c>
      <c r="F98" s="14" t="str">
        <f aca="false">IF(A98="","",MAX(B98-E98,0))</f>
        <v/>
      </c>
    </row>
    <row r="99" customFormat="false" ht="15" hidden="false" customHeight="false" outlineLevel="0" collapsed="false">
      <c r="A99" s="20" t="str">
        <f aca="false">IF(96&lt;=ماشین_حساب_وام!$B$6,96,"")</f>
        <v/>
      </c>
      <c r="B99" s="14" t="str">
        <f aca="false">IF(A99="","",F98)</f>
        <v/>
      </c>
      <c r="C99" s="14" t="str">
        <f aca="false">IF(A99="","",ماشین_حساب_وام!$B$11)</f>
        <v/>
      </c>
      <c r="D99" s="14" t="str">
        <f aca="false">IF(A99="","",B99*ماشین_حساب_وام!$B$10)</f>
        <v/>
      </c>
      <c r="E99" s="14" t="str">
        <f aca="false">IF(A99="","",C99-D99)</f>
        <v/>
      </c>
      <c r="F99" s="14" t="str">
        <f aca="false">IF(A99="","",MAX(B99-E99,0))</f>
        <v/>
      </c>
    </row>
    <row r="100" customFormat="false" ht="15" hidden="false" customHeight="false" outlineLevel="0" collapsed="false">
      <c r="A100" s="20" t="str">
        <f aca="false">IF(97&lt;=ماشین_حساب_وام!$B$6,97,"")</f>
        <v/>
      </c>
      <c r="B100" s="14" t="str">
        <f aca="false">IF(A100="","",F99)</f>
        <v/>
      </c>
      <c r="C100" s="14" t="str">
        <f aca="false">IF(A100="","",ماشین_حساب_وام!$B$11)</f>
        <v/>
      </c>
      <c r="D100" s="14" t="str">
        <f aca="false">IF(A100="","",B100*ماشین_حساب_وام!$B$10)</f>
        <v/>
      </c>
      <c r="E100" s="14" t="str">
        <f aca="false">IF(A100="","",C100-D100)</f>
        <v/>
      </c>
      <c r="F100" s="14" t="str">
        <f aca="false">IF(A100="","",MAX(B100-E100,0))</f>
        <v/>
      </c>
    </row>
    <row r="101" customFormat="false" ht="15" hidden="false" customHeight="false" outlineLevel="0" collapsed="false">
      <c r="A101" s="20" t="str">
        <f aca="false">IF(98&lt;=ماشین_حساب_وام!$B$6,98,"")</f>
        <v/>
      </c>
      <c r="B101" s="14" t="str">
        <f aca="false">IF(A101="","",F100)</f>
        <v/>
      </c>
      <c r="C101" s="14" t="str">
        <f aca="false">IF(A101="","",ماشین_حساب_وام!$B$11)</f>
        <v/>
      </c>
      <c r="D101" s="14" t="str">
        <f aca="false">IF(A101="","",B101*ماشین_حساب_وام!$B$10)</f>
        <v/>
      </c>
      <c r="E101" s="14" t="str">
        <f aca="false">IF(A101="","",C101-D101)</f>
        <v/>
      </c>
      <c r="F101" s="14" t="str">
        <f aca="false">IF(A101="","",MAX(B101-E101,0))</f>
        <v/>
      </c>
    </row>
    <row r="102" customFormat="false" ht="15" hidden="false" customHeight="false" outlineLevel="0" collapsed="false">
      <c r="A102" s="20" t="str">
        <f aca="false">IF(99&lt;=ماشین_حساب_وام!$B$6,99,"")</f>
        <v/>
      </c>
      <c r="B102" s="14" t="str">
        <f aca="false">IF(A102="","",F101)</f>
        <v/>
      </c>
      <c r="C102" s="14" t="str">
        <f aca="false">IF(A102="","",ماشین_حساب_وام!$B$11)</f>
        <v/>
      </c>
      <c r="D102" s="14" t="str">
        <f aca="false">IF(A102="","",B102*ماشین_حساب_وام!$B$10)</f>
        <v/>
      </c>
      <c r="E102" s="14" t="str">
        <f aca="false">IF(A102="","",C102-D102)</f>
        <v/>
      </c>
      <c r="F102" s="14" t="str">
        <f aca="false">IF(A102="","",MAX(B102-E102,0))</f>
        <v/>
      </c>
    </row>
    <row r="103" customFormat="false" ht="15" hidden="false" customHeight="false" outlineLevel="0" collapsed="false">
      <c r="A103" s="20" t="str">
        <f aca="false">IF(100&lt;=ماشین_حساب_وام!$B$6,100,"")</f>
        <v/>
      </c>
      <c r="B103" s="14" t="str">
        <f aca="false">IF(A103="","",F102)</f>
        <v/>
      </c>
      <c r="C103" s="14" t="str">
        <f aca="false">IF(A103="","",ماشین_حساب_وام!$B$11)</f>
        <v/>
      </c>
      <c r="D103" s="14" t="str">
        <f aca="false">IF(A103="","",B103*ماشین_حساب_وام!$B$10)</f>
        <v/>
      </c>
      <c r="E103" s="14" t="str">
        <f aca="false">IF(A103="","",C103-D103)</f>
        <v/>
      </c>
      <c r="F103" s="14" t="str">
        <f aca="false">IF(A103="","",MAX(B103-E103,0))</f>
        <v/>
      </c>
    </row>
    <row r="104" customFormat="false" ht="15" hidden="false" customHeight="false" outlineLevel="0" collapsed="false">
      <c r="A104" s="20" t="str">
        <f aca="false">IF(101&lt;=ماشین_حساب_وام!$B$6,101,"")</f>
        <v/>
      </c>
      <c r="B104" s="14" t="str">
        <f aca="false">IF(A104="","",F103)</f>
        <v/>
      </c>
      <c r="C104" s="14" t="str">
        <f aca="false">IF(A104="","",ماشین_حساب_وام!$B$11)</f>
        <v/>
      </c>
      <c r="D104" s="14" t="str">
        <f aca="false">IF(A104="","",B104*ماشین_حساب_وام!$B$10)</f>
        <v/>
      </c>
      <c r="E104" s="14" t="str">
        <f aca="false">IF(A104="","",C104-D104)</f>
        <v/>
      </c>
      <c r="F104" s="14" t="str">
        <f aca="false">IF(A104="","",MAX(B104-E104,0))</f>
        <v/>
      </c>
    </row>
    <row r="105" customFormat="false" ht="15" hidden="false" customHeight="false" outlineLevel="0" collapsed="false">
      <c r="A105" s="20" t="str">
        <f aca="false">IF(102&lt;=ماشین_حساب_وام!$B$6,102,"")</f>
        <v/>
      </c>
      <c r="B105" s="14" t="str">
        <f aca="false">IF(A105="","",F104)</f>
        <v/>
      </c>
      <c r="C105" s="14" t="str">
        <f aca="false">IF(A105="","",ماشین_حساب_وام!$B$11)</f>
        <v/>
      </c>
      <c r="D105" s="14" t="str">
        <f aca="false">IF(A105="","",B105*ماشین_حساب_وام!$B$10)</f>
        <v/>
      </c>
      <c r="E105" s="14" t="str">
        <f aca="false">IF(A105="","",C105-D105)</f>
        <v/>
      </c>
      <c r="F105" s="14" t="str">
        <f aca="false">IF(A105="","",MAX(B105-E105,0))</f>
        <v/>
      </c>
    </row>
    <row r="106" customFormat="false" ht="15" hidden="false" customHeight="false" outlineLevel="0" collapsed="false">
      <c r="A106" s="20" t="str">
        <f aca="false">IF(103&lt;=ماشین_حساب_وام!$B$6,103,"")</f>
        <v/>
      </c>
      <c r="B106" s="14" t="str">
        <f aca="false">IF(A106="","",F105)</f>
        <v/>
      </c>
      <c r="C106" s="14" t="str">
        <f aca="false">IF(A106="","",ماشین_حساب_وام!$B$11)</f>
        <v/>
      </c>
      <c r="D106" s="14" t="str">
        <f aca="false">IF(A106="","",B106*ماشین_حساب_وام!$B$10)</f>
        <v/>
      </c>
      <c r="E106" s="14" t="str">
        <f aca="false">IF(A106="","",C106-D106)</f>
        <v/>
      </c>
      <c r="F106" s="14" t="str">
        <f aca="false">IF(A106="","",MAX(B106-E106,0))</f>
        <v/>
      </c>
    </row>
    <row r="107" customFormat="false" ht="15" hidden="false" customHeight="false" outlineLevel="0" collapsed="false">
      <c r="A107" s="20" t="str">
        <f aca="false">IF(104&lt;=ماشین_حساب_وام!$B$6,104,"")</f>
        <v/>
      </c>
      <c r="B107" s="14" t="str">
        <f aca="false">IF(A107="","",F106)</f>
        <v/>
      </c>
      <c r="C107" s="14" t="str">
        <f aca="false">IF(A107="","",ماشین_حساب_وام!$B$11)</f>
        <v/>
      </c>
      <c r="D107" s="14" t="str">
        <f aca="false">IF(A107="","",B107*ماشین_حساب_وام!$B$10)</f>
        <v/>
      </c>
      <c r="E107" s="14" t="str">
        <f aca="false">IF(A107="","",C107-D107)</f>
        <v/>
      </c>
      <c r="F107" s="14" t="str">
        <f aca="false">IF(A107="","",MAX(B107-E107,0))</f>
        <v/>
      </c>
    </row>
    <row r="108" customFormat="false" ht="15" hidden="false" customHeight="false" outlineLevel="0" collapsed="false">
      <c r="A108" s="20" t="str">
        <f aca="false">IF(105&lt;=ماشین_حساب_وام!$B$6,105,"")</f>
        <v/>
      </c>
      <c r="B108" s="14" t="str">
        <f aca="false">IF(A108="","",F107)</f>
        <v/>
      </c>
      <c r="C108" s="14" t="str">
        <f aca="false">IF(A108="","",ماشین_حساب_وام!$B$11)</f>
        <v/>
      </c>
      <c r="D108" s="14" t="str">
        <f aca="false">IF(A108="","",B108*ماشین_حساب_وام!$B$10)</f>
        <v/>
      </c>
      <c r="E108" s="14" t="str">
        <f aca="false">IF(A108="","",C108-D108)</f>
        <v/>
      </c>
      <c r="F108" s="14" t="str">
        <f aca="false">IF(A108="","",MAX(B108-E108,0))</f>
        <v/>
      </c>
    </row>
    <row r="109" customFormat="false" ht="15" hidden="false" customHeight="false" outlineLevel="0" collapsed="false">
      <c r="A109" s="20" t="str">
        <f aca="false">IF(106&lt;=ماشین_حساب_وام!$B$6,106,"")</f>
        <v/>
      </c>
      <c r="B109" s="14" t="str">
        <f aca="false">IF(A109="","",F108)</f>
        <v/>
      </c>
      <c r="C109" s="14" t="str">
        <f aca="false">IF(A109="","",ماشین_حساب_وام!$B$11)</f>
        <v/>
      </c>
      <c r="D109" s="14" t="str">
        <f aca="false">IF(A109="","",B109*ماشین_حساب_وام!$B$10)</f>
        <v/>
      </c>
      <c r="E109" s="14" t="str">
        <f aca="false">IF(A109="","",C109-D109)</f>
        <v/>
      </c>
      <c r="F109" s="14" t="str">
        <f aca="false">IF(A109="","",MAX(B109-E109,0))</f>
        <v/>
      </c>
    </row>
    <row r="110" customFormat="false" ht="15" hidden="false" customHeight="false" outlineLevel="0" collapsed="false">
      <c r="A110" s="20" t="str">
        <f aca="false">IF(107&lt;=ماشین_حساب_وام!$B$6,107,"")</f>
        <v/>
      </c>
      <c r="B110" s="14" t="str">
        <f aca="false">IF(A110="","",F109)</f>
        <v/>
      </c>
      <c r="C110" s="14" t="str">
        <f aca="false">IF(A110="","",ماشین_حساب_وام!$B$11)</f>
        <v/>
      </c>
      <c r="D110" s="14" t="str">
        <f aca="false">IF(A110="","",B110*ماشین_حساب_وام!$B$10)</f>
        <v/>
      </c>
      <c r="E110" s="14" t="str">
        <f aca="false">IF(A110="","",C110-D110)</f>
        <v/>
      </c>
      <c r="F110" s="14" t="str">
        <f aca="false">IF(A110="","",MAX(B110-E110,0))</f>
        <v/>
      </c>
    </row>
    <row r="111" customFormat="false" ht="15" hidden="false" customHeight="false" outlineLevel="0" collapsed="false">
      <c r="A111" s="20" t="str">
        <f aca="false">IF(108&lt;=ماشین_حساب_وام!$B$6,108,"")</f>
        <v/>
      </c>
      <c r="B111" s="14" t="str">
        <f aca="false">IF(A111="","",F110)</f>
        <v/>
      </c>
      <c r="C111" s="14" t="str">
        <f aca="false">IF(A111="","",ماشین_حساب_وام!$B$11)</f>
        <v/>
      </c>
      <c r="D111" s="14" t="str">
        <f aca="false">IF(A111="","",B111*ماشین_حساب_وام!$B$10)</f>
        <v/>
      </c>
      <c r="E111" s="14" t="str">
        <f aca="false">IF(A111="","",C111-D111)</f>
        <v/>
      </c>
      <c r="F111" s="14" t="str">
        <f aca="false">IF(A111="","",MAX(B111-E111,0))</f>
        <v/>
      </c>
    </row>
    <row r="112" customFormat="false" ht="15" hidden="false" customHeight="false" outlineLevel="0" collapsed="false">
      <c r="A112" s="20" t="str">
        <f aca="false">IF(109&lt;=ماشین_حساب_وام!$B$6,109,"")</f>
        <v/>
      </c>
      <c r="B112" s="14" t="str">
        <f aca="false">IF(A112="","",F111)</f>
        <v/>
      </c>
      <c r="C112" s="14" t="str">
        <f aca="false">IF(A112="","",ماشین_حساب_وام!$B$11)</f>
        <v/>
      </c>
      <c r="D112" s="14" t="str">
        <f aca="false">IF(A112="","",B112*ماشین_حساب_وام!$B$10)</f>
        <v/>
      </c>
      <c r="E112" s="14" t="str">
        <f aca="false">IF(A112="","",C112-D112)</f>
        <v/>
      </c>
      <c r="F112" s="14" t="str">
        <f aca="false">IF(A112="","",MAX(B112-E112,0))</f>
        <v/>
      </c>
    </row>
    <row r="113" customFormat="false" ht="15" hidden="false" customHeight="false" outlineLevel="0" collapsed="false">
      <c r="A113" s="20" t="str">
        <f aca="false">IF(110&lt;=ماشین_حساب_وام!$B$6,110,"")</f>
        <v/>
      </c>
      <c r="B113" s="14" t="str">
        <f aca="false">IF(A113="","",F112)</f>
        <v/>
      </c>
      <c r="C113" s="14" t="str">
        <f aca="false">IF(A113="","",ماشین_حساب_وام!$B$11)</f>
        <v/>
      </c>
      <c r="D113" s="14" t="str">
        <f aca="false">IF(A113="","",B113*ماشین_حساب_وام!$B$10)</f>
        <v/>
      </c>
      <c r="E113" s="14" t="str">
        <f aca="false">IF(A113="","",C113-D113)</f>
        <v/>
      </c>
      <c r="F113" s="14" t="str">
        <f aca="false">IF(A113="","",MAX(B113-E113,0))</f>
        <v/>
      </c>
    </row>
    <row r="114" customFormat="false" ht="15" hidden="false" customHeight="false" outlineLevel="0" collapsed="false">
      <c r="A114" s="20" t="str">
        <f aca="false">IF(111&lt;=ماشین_حساب_وام!$B$6,111,"")</f>
        <v/>
      </c>
      <c r="B114" s="14" t="str">
        <f aca="false">IF(A114="","",F113)</f>
        <v/>
      </c>
      <c r="C114" s="14" t="str">
        <f aca="false">IF(A114="","",ماشین_حساب_وام!$B$11)</f>
        <v/>
      </c>
      <c r="D114" s="14" t="str">
        <f aca="false">IF(A114="","",B114*ماشین_حساب_وام!$B$10)</f>
        <v/>
      </c>
      <c r="E114" s="14" t="str">
        <f aca="false">IF(A114="","",C114-D114)</f>
        <v/>
      </c>
      <c r="F114" s="14" t="str">
        <f aca="false">IF(A114="","",MAX(B114-E114,0))</f>
        <v/>
      </c>
    </row>
    <row r="115" customFormat="false" ht="15" hidden="false" customHeight="false" outlineLevel="0" collapsed="false">
      <c r="A115" s="20" t="str">
        <f aca="false">IF(112&lt;=ماشین_حساب_وام!$B$6,112,"")</f>
        <v/>
      </c>
      <c r="B115" s="14" t="str">
        <f aca="false">IF(A115="","",F114)</f>
        <v/>
      </c>
      <c r="C115" s="14" t="str">
        <f aca="false">IF(A115="","",ماشین_حساب_وام!$B$11)</f>
        <v/>
      </c>
      <c r="D115" s="14" t="str">
        <f aca="false">IF(A115="","",B115*ماشین_حساب_وام!$B$10)</f>
        <v/>
      </c>
      <c r="E115" s="14" t="str">
        <f aca="false">IF(A115="","",C115-D115)</f>
        <v/>
      </c>
      <c r="F115" s="14" t="str">
        <f aca="false">IF(A115="","",MAX(B115-E115,0))</f>
        <v/>
      </c>
    </row>
    <row r="116" customFormat="false" ht="15" hidden="false" customHeight="false" outlineLevel="0" collapsed="false">
      <c r="A116" s="20" t="str">
        <f aca="false">IF(113&lt;=ماشین_حساب_وام!$B$6,113,"")</f>
        <v/>
      </c>
      <c r="B116" s="14" t="str">
        <f aca="false">IF(A116="","",F115)</f>
        <v/>
      </c>
      <c r="C116" s="14" t="str">
        <f aca="false">IF(A116="","",ماشین_حساب_وام!$B$11)</f>
        <v/>
      </c>
      <c r="D116" s="14" t="str">
        <f aca="false">IF(A116="","",B116*ماشین_حساب_وام!$B$10)</f>
        <v/>
      </c>
      <c r="E116" s="14" t="str">
        <f aca="false">IF(A116="","",C116-D116)</f>
        <v/>
      </c>
      <c r="F116" s="14" t="str">
        <f aca="false">IF(A116="","",MAX(B116-E116,0))</f>
        <v/>
      </c>
    </row>
    <row r="117" customFormat="false" ht="15" hidden="false" customHeight="false" outlineLevel="0" collapsed="false">
      <c r="A117" s="20" t="str">
        <f aca="false">IF(114&lt;=ماشین_حساب_وام!$B$6,114,"")</f>
        <v/>
      </c>
      <c r="B117" s="14" t="str">
        <f aca="false">IF(A117="","",F116)</f>
        <v/>
      </c>
      <c r="C117" s="14" t="str">
        <f aca="false">IF(A117="","",ماشین_حساب_وام!$B$11)</f>
        <v/>
      </c>
      <c r="D117" s="14" t="str">
        <f aca="false">IF(A117="","",B117*ماشین_حساب_وام!$B$10)</f>
        <v/>
      </c>
      <c r="E117" s="14" t="str">
        <f aca="false">IF(A117="","",C117-D117)</f>
        <v/>
      </c>
      <c r="F117" s="14" t="str">
        <f aca="false">IF(A117="","",MAX(B117-E117,0))</f>
        <v/>
      </c>
    </row>
    <row r="118" customFormat="false" ht="15" hidden="false" customHeight="false" outlineLevel="0" collapsed="false">
      <c r="A118" s="20" t="str">
        <f aca="false">IF(115&lt;=ماشین_حساب_وام!$B$6,115,"")</f>
        <v/>
      </c>
      <c r="B118" s="14" t="str">
        <f aca="false">IF(A118="","",F117)</f>
        <v/>
      </c>
      <c r="C118" s="14" t="str">
        <f aca="false">IF(A118="","",ماشین_حساب_وام!$B$11)</f>
        <v/>
      </c>
      <c r="D118" s="14" t="str">
        <f aca="false">IF(A118="","",B118*ماشین_حساب_وام!$B$10)</f>
        <v/>
      </c>
      <c r="E118" s="14" t="str">
        <f aca="false">IF(A118="","",C118-D118)</f>
        <v/>
      </c>
      <c r="F118" s="14" t="str">
        <f aca="false">IF(A118="","",MAX(B118-E118,0))</f>
        <v/>
      </c>
    </row>
    <row r="119" customFormat="false" ht="15" hidden="false" customHeight="false" outlineLevel="0" collapsed="false">
      <c r="A119" s="20" t="str">
        <f aca="false">IF(116&lt;=ماشین_حساب_وام!$B$6,116,"")</f>
        <v/>
      </c>
      <c r="B119" s="14" t="str">
        <f aca="false">IF(A119="","",F118)</f>
        <v/>
      </c>
      <c r="C119" s="14" t="str">
        <f aca="false">IF(A119="","",ماشین_حساب_وام!$B$11)</f>
        <v/>
      </c>
      <c r="D119" s="14" t="str">
        <f aca="false">IF(A119="","",B119*ماشین_حساب_وام!$B$10)</f>
        <v/>
      </c>
      <c r="E119" s="14" t="str">
        <f aca="false">IF(A119="","",C119-D119)</f>
        <v/>
      </c>
      <c r="F119" s="14" t="str">
        <f aca="false">IF(A119="","",MAX(B119-E119,0))</f>
        <v/>
      </c>
    </row>
    <row r="120" customFormat="false" ht="15" hidden="false" customHeight="false" outlineLevel="0" collapsed="false">
      <c r="A120" s="20" t="str">
        <f aca="false">IF(117&lt;=ماشین_حساب_وام!$B$6,117,"")</f>
        <v/>
      </c>
      <c r="B120" s="14" t="str">
        <f aca="false">IF(A120="","",F119)</f>
        <v/>
      </c>
      <c r="C120" s="14" t="str">
        <f aca="false">IF(A120="","",ماشین_حساب_وام!$B$11)</f>
        <v/>
      </c>
      <c r="D120" s="14" t="str">
        <f aca="false">IF(A120="","",B120*ماشین_حساب_وام!$B$10)</f>
        <v/>
      </c>
      <c r="E120" s="14" t="str">
        <f aca="false">IF(A120="","",C120-D120)</f>
        <v/>
      </c>
      <c r="F120" s="14" t="str">
        <f aca="false">IF(A120="","",MAX(B120-E120,0))</f>
        <v/>
      </c>
    </row>
    <row r="121" customFormat="false" ht="15" hidden="false" customHeight="false" outlineLevel="0" collapsed="false">
      <c r="A121" s="20" t="str">
        <f aca="false">IF(118&lt;=ماشین_حساب_وام!$B$6,118,"")</f>
        <v/>
      </c>
      <c r="B121" s="14" t="str">
        <f aca="false">IF(A121="","",F120)</f>
        <v/>
      </c>
      <c r="C121" s="14" t="str">
        <f aca="false">IF(A121="","",ماشین_حساب_وام!$B$11)</f>
        <v/>
      </c>
      <c r="D121" s="14" t="str">
        <f aca="false">IF(A121="","",B121*ماشین_حساب_وام!$B$10)</f>
        <v/>
      </c>
      <c r="E121" s="14" t="str">
        <f aca="false">IF(A121="","",C121-D121)</f>
        <v/>
      </c>
      <c r="F121" s="14" t="str">
        <f aca="false">IF(A121="","",MAX(B121-E121,0))</f>
        <v/>
      </c>
    </row>
    <row r="122" customFormat="false" ht="15" hidden="false" customHeight="false" outlineLevel="0" collapsed="false">
      <c r="A122" s="20" t="str">
        <f aca="false">IF(119&lt;=ماشین_حساب_وام!$B$6,119,"")</f>
        <v/>
      </c>
      <c r="B122" s="14" t="str">
        <f aca="false">IF(A122="","",F121)</f>
        <v/>
      </c>
      <c r="C122" s="14" t="str">
        <f aca="false">IF(A122="","",ماشین_حساب_وام!$B$11)</f>
        <v/>
      </c>
      <c r="D122" s="14" t="str">
        <f aca="false">IF(A122="","",B122*ماشین_حساب_وام!$B$10)</f>
        <v/>
      </c>
      <c r="E122" s="14" t="str">
        <f aca="false">IF(A122="","",C122-D122)</f>
        <v/>
      </c>
      <c r="F122" s="14" t="str">
        <f aca="false">IF(A122="","",MAX(B122-E122,0))</f>
        <v/>
      </c>
    </row>
    <row r="123" customFormat="false" ht="15" hidden="false" customHeight="false" outlineLevel="0" collapsed="false">
      <c r="A123" s="20" t="str">
        <f aca="false">IF(120&lt;=ماشین_حساب_وام!$B$6,120,"")</f>
        <v/>
      </c>
      <c r="B123" s="14" t="str">
        <f aca="false">IF(A123="","",F122)</f>
        <v/>
      </c>
      <c r="C123" s="14" t="str">
        <f aca="false">IF(A123="","",ماشین_حساب_وام!$B$11)</f>
        <v/>
      </c>
      <c r="D123" s="14" t="str">
        <f aca="false">IF(A123="","",B123*ماشین_حساب_وام!$B$10)</f>
        <v/>
      </c>
      <c r="E123" s="14" t="str">
        <f aca="false">IF(A123="","",C123-D123)</f>
        <v/>
      </c>
      <c r="F123" s="14" t="str">
        <f aca="false">IF(A123="","",MAX(B123-E123,0))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26"/>
  </cols>
  <sheetData>
    <row r="1" customFormat="false" ht="17.35" hidden="false" customHeight="false" outlineLevel="0" collapsed="false">
      <c r="A1" s="4" t="s">
        <v>5</v>
      </c>
    </row>
    <row r="3" customFormat="false" ht="15" hidden="false" customHeight="false" outlineLevel="0" collapsed="false">
      <c r="A3" s="6" t="s">
        <v>44</v>
      </c>
    </row>
    <row r="4" customFormat="false" ht="15" hidden="false" customHeight="false" outlineLevel="0" collapsed="false">
      <c r="A4" s="17" t="s">
        <v>45</v>
      </c>
      <c r="B4" s="17" t="s">
        <v>46</v>
      </c>
      <c r="C4" s="17" t="s">
        <v>47</v>
      </c>
    </row>
    <row r="5" customFormat="false" ht="15" hidden="false" customHeight="false" outlineLevel="0" collapsed="false">
      <c r="A5" s="7" t="s">
        <v>27</v>
      </c>
      <c r="B5" s="14" t="n">
        <f aca="false">ماشین_حساب_وام!B11</f>
        <v>5237330.60298597</v>
      </c>
      <c r="C5" s="14" t="n">
        <f aca="false">(ماشین_حساب_وام!B4+ماشین_حساب_وام!B4*ماشین_حساب_وام!B5*ماشین_حساب_وام!B6/12)/ماشین_حساب_وام!B6</f>
        <v>6083333.33333333</v>
      </c>
    </row>
    <row r="6" customFormat="false" ht="15" hidden="false" customHeight="false" outlineLevel="0" collapsed="false">
      <c r="A6" s="7" t="s">
        <v>29</v>
      </c>
      <c r="B6" s="14" t="n">
        <f aca="false">ماشین_حساب_وام!B13</f>
        <v>25695934.4716633</v>
      </c>
      <c r="C6" s="14" t="n">
        <f aca="false">ماشین_حساب_وام!B4*ماشین_حساب_وام!B5*ماشین_حساب_وام!B6/12</f>
        <v>46000000</v>
      </c>
    </row>
    <row r="7" customFormat="false" ht="15" hidden="false" customHeight="false" outlineLevel="0" collapsed="false">
      <c r="A7" s="7" t="s">
        <v>28</v>
      </c>
      <c r="B7" s="14" t="n">
        <f aca="false">B6+ماشین_حساب_وام!B4</f>
        <v>125695934.471663</v>
      </c>
      <c r="C7" s="14" t="n">
        <f aca="false">C6+ماشین_حساب_وام!B4</f>
        <v>146000000</v>
      </c>
    </row>
    <row r="8" customFormat="false" ht="15" hidden="false" customHeight="false" outlineLevel="0" collapsed="false">
      <c r="A8" s="7" t="s">
        <v>48</v>
      </c>
      <c r="B8" s="16" t="n">
        <f aca="false">IFERROR(RATE(ماشین_حساب_وام!B6,-B5,ماشین_حساب_وام!B4)*12,ماشین_حساب_وام!B5)</f>
        <v>0.229999999999999</v>
      </c>
      <c r="C8" s="16" t="n">
        <f aca="false">IFERROR(RATE(ماشین_حساب_وام!B6,-C5,ماشین_حساب_وام!B4)*12,ماشین_حساب_وام!B5)</f>
        <v>0.393427937296924</v>
      </c>
    </row>
    <row r="10" customFormat="false" ht="15" hidden="false" customHeight="false" outlineLevel="0" collapsed="false">
      <c r="A10" s="6" t="s">
        <v>49</v>
      </c>
    </row>
    <row r="11" customFormat="false" ht="15" hidden="false" customHeight="false" outlineLevel="0" collapsed="false">
      <c r="A11" s="7" t="s">
        <v>20</v>
      </c>
      <c r="B11" s="21" t="n">
        <f aca="false">ماشین_حساب_وام!B4</f>
        <v>100000000</v>
      </c>
    </row>
    <row r="12" customFormat="false" ht="15" hidden="false" customHeight="false" outlineLevel="0" collapsed="false">
      <c r="A12" s="17" t="s">
        <v>45</v>
      </c>
      <c r="B12" s="17" t="s">
        <v>50</v>
      </c>
      <c r="C12" s="17" t="s">
        <v>51</v>
      </c>
    </row>
    <row r="13" customFormat="false" ht="15" hidden="false" customHeight="false" outlineLevel="0" collapsed="false">
      <c r="A13" s="7" t="s">
        <v>52</v>
      </c>
      <c r="B13" s="9" t="n">
        <v>0.23</v>
      </c>
      <c r="C13" s="9" t="n">
        <v>0.2</v>
      </c>
    </row>
    <row r="14" customFormat="false" ht="15" hidden="false" customHeight="false" outlineLevel="0" collapsed="false">
      <c r="A14" s="7" t="s">
        <v>53</v>
      </c>
      <c r="B14" s="10" t="n">
        <v>24</v>
      </c>
      <c r="C14" s="10" t="n">
        <v>24</v>
      </c>
    </row>
    <row r="15" customFormat="false" ht="15" hidden="false" customHeight="false" outlineLevel="0" collapsed="false">
      <c r="A15" s="7" t="s">
        <v>54</v>
      </c>
      <c r="B15" s="9" t="n">
        <v>0</v>
      </c>
      <c r="C15" s="9" t="n">
        <v>0.03</v>
      </c>
    </row>
    <row r="16" customFormat="false" ht="15" hidden="false" customHeight="false" outlineLevel="0" collapsed="false">
      <c r="A16" s="7" t="s">
        <v>27</v>
      </c>
      <c r="B16" s="14" t="n">
        <f aca="false">IF(B13=0,$B$11/B14,-PMT(B13/12,B14,$B$11))</f>
        <v>5237330.60298597</v>
      </c>
      <c r="C16" s="14" t="n">
        <f aca="false">IF(C13=0,$B$11/C14,-PMT(C13/12,C14,$B$11))</f>
        <v>5089580.26432389</v>
      </c>
    </row>
    <row r="17" customFormat="false" ht="15" hidden="false" customHeight="false" outlineLevel="0" collapsed="false">
      <c r="A17" s="7" t="s">
        <v>29</v>
      </c>
      <c r="B17" s="14" t="n">
        <f aca="false">B16*B14-$B$11</f>
        <v>25695934.4716633</v>
      </c>
      <c r="C17" s="14" t="n">
        <f aca="false">C16*C14-$B$11</f>
        <v>22149926.3437734</v>
      </c>
    </row>
    <row r="18" customFormat="false" ht="15" hidden="false" customHeight="false" outlineLevel="0" collapsed="false">
      <c r="A18" s="7" t="s">
        <v>30</v>
      </c>
      <c r="B18" s="14" t="n">
        <f aca="false">$B$11*B15</f>
        <v>0</v>
      </c>
      <c r="C18" s="14" t="n">
        <f aca="false">$B$11*C15</f>
        <v>3000000</v>
      </c>
    </row>
    <row r="19" customFormat="false" ht="15" hidden="false" customHeight="false" outlineLevel="0" collapsed="false">
      <c r="A19" s="7" t="s">
        <v>32</v>
      </c>
      <c r="B19" s="13" t="n">
        <f aca="false">B17+B18</f>
        <v>25695934.4716633</v>
      </c>
      <c r="C19" s="13" t="n">
        <f aca="false">C17+C18</f>
        <v>25149926.3437734</v>
      </c>
    </row>
    <row r="20" customFormat="false" ht="15" hidden="false" customHeight="false" outlineLevel="0" collapsed="false">
      <c r="A20" s="7" t="s">
        <v>31</v>
      </c>
      <c r="B20" s="14" t="n">
        <f aca="false">$B$11-B18</f>
        <v>100000000</v>
      </c>
      <c r="C20" s="14" t="n">
        <f aca="false">$B$11-C18</f>
        <v>97000000</v>
      </c>
    </row>
    <row r="21" customFormat="false" ht="15" hidden="false" customHeight="false" outlineLevel="0" collapsed="false">
      <c r="A21" s="7" t="s">
        <v>48</v>
      </c>
      <c r="B21" s="15" t="n">
        <f aca="false">IFERROR(RATE(B14,-B16,B20)*12,B13)</f>
        <v>0.229999999999999</v>
      </c>
      <c r="C21" s="15" t="n">
        <f aca="false">IFERROR(RATE(C14,-C16,C20)*12,C13)</f>
        <v>0.231944592607877</v>
      </c>
    </row>
    <row r="22" customFormat="false" ht="15" hidden="false" customHeight="false" outlineLevel="0" collapsed="false">
      <c r="A22" s="7" t="s">
        <v>55</v>
      </c>
      <c r="B22" s="22" t="str">
        <f aca="false">IF(B19&lt;C19,"پیشنهاد الف (هزینه‌ی کل کمتر)",IF(B19&gt;C19,"پیشنهاد ب (هزینه‌ی کل کمتر)","برابر"))</f>
        <v>پیشنهاد ب (هزینه‌ی کل کمتر)</v>
      </c>
      <c r="C22" s="22"/>
    </row>
    <row r="24" customFormat="false" ht="15" hidden="false" customHeight="false" outlineLevel="0" collapsed="false">
      <c r="A24" s="5" t="s">
        <v>56</v>
      </c>
    </row>
  </sheetData>
  <mergeCells count="1"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30"/>
  </cols>
  <sheetData>
    <row r="1" customFormat="false" ht="17.15" hidden="false" customHeight="false" outlineLevel="0" collapsed="false">
      <c r="A1" s="4" t="s">
        <v>57</v>
      </c>
    </row>
    <row r="2" customFormat="false" ht="15" hidden="false" customHeight="false" outlineLevel="0" collapsed="false">
      <c r="A2" s="5" t="s">
        <v>58</v>
      </c>
    </row>
    <row r="4" customFormat="false" ht="15" hidden="false" customHeight="false" outlineLevel="0" collapsed="false">
      <c r="A4" s="7" t="s">
        <v>59</v>
      </c>
      <c r="B4" s="8" t="n">
        <v>30000000</v>
      </c>
    </row>
    <row r="5" customFormat="false" ht="15" hidden="false" customHeight="false" outlineLevel="0" collapsed="false">
      <c r="A5" s="7" t="s">
        <v>60</v>
      </c>
      <c r="B5" s="8" t="n">
        <v>0</v>
      </c>
    </row>
    <row r="6" customFormat="false" ht="15" hidden="false" customHeight="false" outlineLevel="0" collapsed="false">
      <c r="A6" s="7" t="s">
        <v>61</v>
      </c>
      <c r="B6" s="23" t="n">
        <v>0.3</v>
      </c>
    </row>
    <row r="7" customFormat="false" ht="15" hidden="false" customHeight="false" outlineLevel="0" collapsed="false">
      <c r="A7" s="7" t="s">
        <v>62</v>
      </c>
      <c r="B7" s="24" t="n">
        <f aca="false">ماشین_حساب_وام!B5</f>
        <v>0.23</v>
      </c>
    </row>
    <row r="8" customFormat="false" ht="15" hidden="false" customHeight="false" outlineLevel="0" collapsed="false">
      <c r="A8" s="7" t="s">
        <v>63</v>
      </c>
      <c r="B8" s="25" t="n">
        <f aca="false">ماشین_حساب_وام!B6</f>
        <v>24</v>
      </c>
    </row>
    <row r="10" customFormat="false" ht="15" hidden="false" customHeight="false" outlineLevel="0" collapsed="false">
      <c r="A10" s="7" t="s">
        <v>64</v>
      </c>
      <c r="B10" s="13" t="n">
        <f aca="false">MAX(B4*B6-B5,0)</f>
        <v>9000000</v>
      </c>
    </row>
    <row r="11" customFormat="false" ht="15" hidden="false" customHeight="false" outlineLevel="0" collapsed="false">
      <c r="A11" s="7" t="s">
        <v>65</v>
      </c>
      <c r="B11" s="13" t="n">
        <f aca="false">IF(B7=0,B10*B8,PV(B7/12,B8,-B10))</f>
        <v>171843266.775423</v>
      </c>
    </row>
    <row r="12" customFormat="false" ht="15" hidden="false" customHeight="false" outlineLevel="0" collapsed="false">
      <c r="A12" s="7" t="s">
        <v>66</v>
      </c>
      <c r="B12" s="14" t="n">
        <f aca="false">B10*B8</f>
        <v>216000000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48"/>
  </cols>
  <sheetData>
    <row r="1" customFormat="false" ht="17.35" hidden="false" customHeight="false" outlineLevel="0" collapsed="false">
      <c r="A1" s="4" t="s">
        <v>67</v>
      </c>
    </row>
    <row r="2" customFormat="false" ht="15" hidden="false" customHeight="false" outlineLevel="0" collapsed="false">
      <c r="A2" s="5" t="s">
        <v>68</v>
      </c>
    </row>
    <row r="4" customFormat="false" ht="15" hidden="false" customHeight="false" outlineLevel="0" collapsed="false">
      <c r="A4" s="7" t="s">
        <v>69</v>
      </c>
      <c r="B4" s="21" t="n">
        <f aca="false">ماشین_حساب_وام!B11</f>
        <v>5237330.60298597</v>
      </c>
    </row>
    <row r="5" customFormat="false" ht="15" hidden="false" customHeight="false" outlineLevel="0" collapsed="false">
      <c r="A5" s="7" t="s">
        <v>70</v>
      </c>
      <c r="B5" s="24" t="n">
        <f aca="false">ماشین_حساب_وام!B5</f>
        <v>0.23</v>
      </c>
    </row>
    <row r="6" customFormat="false" ht="15" hidden="false" customHeight="false" outlineLevel="0" collapsed="false">
      <c r="A6" s="7" t="s">
        <v>71</v>
      </c>
      <c r="B6" s="9" t="n">
        <v>0.06</v>
      </c>
      <c r="C6" s="11" t="s">
        <v>72</v>
      </c>
    </row>
    <row r="7" customFormat="false" ht="15" hidden="false" customHeight="false" outlineLevel="0" collapsed="false">
      <c r="A7" s="7" t="s">
        <v>73</v>
      </c>
      <c r="B7" s="10" t="n">
        <v>15</v>
      </c>
    </row>
    <row r="8" customFormat="false" ht="15" hidden="false" customHeight="false" outlineLevel="0" collapsed="false">
      <c r="A8" s="7" t="s">
        <v>74</v>
      </c>
      <c r="B8" s="10" t="n">
        <v>365</v>
      </c>
      <c r="C8" s="11" t="s">
        <v>75</v>
      </c>
    </row>
    <row r="10" customFormat="false" ht="15" hidden="false" customHeight="false" outlineLevel="0" collapsed="false">
      <c r="A10" s="7" t="s">
        <v>76</v>
      </c>
      <c r="B10" s="16" t="n">
        <f aca="false">B5+B6</f>
        <v>0.29</v>
      </c>
    </row>
    <row r="11" customFormat="false" ht="15" hidden="false" customHeight="false" outlineLevel="0" collapsed="false">
      <c r="A11" s="7" t="s">
        <v>9</v>
      </c>
      <c r="B11" s="13" t="n">
        <f aca="false">B4*B10/B8*B7</f>
        <v>62417.5017068191</v>
      </c>
    </row>
    <row r="12" customFormat="false" ht="15" hidden="false" customHeight="false" outlineLevel="0" collapsed="false">
      <c r="A12" s="7" t="s">
        <v>77</v>
      </c>
      <c r="B12" s="13" t="n">
        <f aca="false">B4+B11</f>
        <v>5299748.10469279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2026-10-10T03:49:55Z</dcterms:created>
  <dc:creator>openpyxl</dc:creator>
  <dc:description/>
  <dc:language>en-US</dc:language>
  <cp:lastModifiedBy/>
  <dcterms:modified xsi:type="dcterms:W3CDTF">2026-10-10T03:49:57Z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